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2280" windowWidth="19815" windowHeight="5565" firstSheet="8" activeTab="11"/>
  </bookViews>
  <sheets>
    <sheet name="5.1.1 PKB" sheetId="34" r:id="rId1"/>
    <sheet name="5.1.1 Nakłady B+R" sheetId="35" r:id="rId2"/>
    <sheet name="5.1.1 Nakłady_razem" sheetId="43" r:id="rId3"/>
    <sheet name="5.1.1 Nakłady lata" sheetId="46" r:id="rId4"/>
    <sheet name="5.1.2 Fin. zew_woj" sheetId="38" r:id="rId5"/>
    <sheet name="5.1.2 Fin. ze. lata" sheetId="40" r:id="rId6"/>
    <sheet name="5.1.3 Podmioty REGON" sheetId="2" r:id="rId7"/>
    <sheet name="5.1.3 Przeds. nowopowst." sheetId="6" r:id="rId8"/>
    <sheet name="5.1.3 Przeds. niefinansowe" sheetId="5" r:id="rId9"/>
    <sheet name="5.1.3 Plany inwestycyjne" sheetId="14" r:id="rId10"/>
    <sheet name="5.1.3 SL IF Pożyczki" sheetId="18" r:id="rId11"/>
    <sheet name="5.1.3 Luka_woj" sheetId="41" r:id="rId12"/>
    <sheet name="5.1.3 Luka_lata" sheetId="47" r:id="rId13"/>
    <sheet name="5.1.4 Luka kapitał" sheetId="48" r:id="rId14"/>
    <sheet name="5.1.4 Luka_kapitał_lata" sheetId="49" r:id="rId15"/>
  </sheets>
  <calcPr calcId="145621"/>
</workbook>
</file>

<file path=xl/calcChain.xml><?xml version="1.0" encoding="utf-8"?>
<calcChain xmlns="http://schemas.openxmlformats.org/spreadsheetml/2006/main">
  <c r="I3" i="49" l="1"/>
  <c r="H3" i="49"/>
  <c r="K3" i="49"/>
  <c r="J3" i="49"/>
  <c r="L3" i="49"/>
  <c r="L4" i="49"/>
  <c r="L5" i="49"/>
  <c r="L6" i="49"/>
  <c r="L7" i="49"/>
  <c r="L8" i="49"/>
  <c r="L9" i="49"/>
  <c r="L10" i="49"/>
  <c r="L11" i="49"/>
  <c r="L12" i="49"/>
  <c r="F3" i="49"/>
  <c r="E3" i="49"/>
  <c r="F4" i="49"/>
  <c r="E4" i="49"/>
  <c r="H4" i="49" s="1"/>
  <c r="E5" i="49"/>
  <c r="E9" i="49"/>
  <c r="H9" i="49" s="1"/>
  <c r="B5" i="49"/>
  <c r="F5" i="49" s="1"/>
  <c r="B6" i="49"/>
  <c r="E6" i="49" s="1"/>
  <c r="B7" i="49"/>
  <c r="F7" i="49" s="1"/>
  <c r="B8" i="49"/>
  <c r="E8" i="49" s="1"/>
  <c r="B9" i="49"/>
  <c r="F9" i="49" s="1"/>
  <c r="B10" i="49"/>
  <c r="E10" i="49" s="1"/>
  <c r="B11" i="49"/>
  <c r="E11" i="49" s="1"/>
  <c r="B12" i="49"/>
  <c r="E12" i="49" s="1"/>
  <c r="B4" i="49"/>
  <c r="B3" i="49"/>
  <c r="C13" i="49"/>
  <c r="Q2" i="48"/>
  <c r="K6" i="41"/>
  <c r="K7" i="41"/>
  <c r="K8" i="41" s="1"/>
  <c r="K9" i="41" s="1"/>
  <c r="K10" i="41" s="1"/>
  <c r="K11" i="41" s="1"/>
  <c r="K12" i="41" s="1"/>
  <c r="K13" i="41" s="1"/>
  <c r="K14" i="41" s="1"/>
  <c r="K15" i="41" s="1"/>
  <c r="K16" i="41" s="1"/>
  <c r="K17" i="41" s="1"/>
  <c r="K18" i="41" s="1"/>
  <c r="K19" i="41" s="1"/>
  <c r="K20" i="41" s="1"/>
  <c r="K5" i="41"/>
  <c r="K4" i="41"/>
  <c r="J6" i="41"/>
  <c r="J7" i="41"/>
  <c r="J8" i="41" s="1"/>
  <c r="J9" i="41" s="1"/>
  <c r="J10" i="41" s="1"/>
  <c r="J11" i="41" s="1"/>
  <c r="J12" i="41" s="1"/>
  <c r="J13" i="41" s="1"/>
  <c r="J14" i="41" s="1"/>
  <c r="J15" i="41" s="1"/>
  <c r="J16" i="41" s="1"/>
  <c r="J17" i="41" s="1"/>
  <c r="J18" i="41" s="1"/>
  <c r="J19" i="41" s="1"/>
  <c r="J20" i="41" s="1"/>
  <c r="J5" i="41"/>
  <c r="I6" i="41"/>
  <c r="I7" i="41"/>
  <c r="I8" i="41" s="1"/>
  <c r="I9" i="41" s="1"/>
  <c r="I10" i="41" s="1"/>
  <c r="I11" i="41" s="1"/>
  <c r="I12" i="41" s="1"/>
  <c r="I13" i="41" s="1"/>
  <c r="I14" i="41" s="1"/>
  <c r="I15" i="41" s="1"/>
  <c r="I16" i="41" s="1"/>
  <c r="I17" i="41" s="1"/>
  <c r="I18" i="41" s="1"/>
  <c r="I19" i="41" s="1"/>
  <c r="I20" i="41" s="1"/>
  <c r="I5" i="41"/>
  <c r="I4" i="41"/>
  <c r="G6" i="41"/>
  <c r="G7" i="41"/>
  <c r="G8" i="41" s="1"/>
  <c r="G9" i="41" s="1"/>
  <c r="G10" i="41" s="1"/>
  <c r="G11" i="41" s="1"/>
  <c r="G12" i="41" s="1"/>
  <c r="G13" i="41" s="1"/>
  <c r="G14" i="41" s="1"/>
  <c r="G15" i="41" s="1"/>
  <c r="G16" i="41" s="1"/>
  <c r="G17" i="41" s="1"/>
  <c r="G18" i="41" s="1"/>
  <c r="G19" i="41" s="1"/>
  <c r="G20" i="41" s="1"/>
  <c r="G5" i="41"/>
  <c r="G4" i="41"/>
  <c r="H6" i="41"/>
  <c r="H7" i="41"/>
  <c r="H8" i="41" s="1"/>
  <c r="H9" i="41" s="1"/>
  <c r="H10" i="41" s="1"/>
  <c r="H11" i="41" s="1"/>
  <c r="H12" i="41" s="1"/>
  <c r="H13" i="41" s="1"/>
  <c r="H14" i="41" s="1"/>
  <c r="H15" i="41" s="1"/>
  <c r="H16" i="41" s="1"/>
  <c r="H17" i="41" s="1"/>
  <c r="H18" i="41" s="1"/>
  <c r="H19" i="41" s="1"/>
  <c r="H20" i="41" s="1"/>
  <c r="H5" i="41"/>
  <c r="F6" i="41"/>
  <c r="F7" i="4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5" i="41"/>
  <c r="H12" i="49" l="1"/>
  <c r="J12" i="49"/>
  <c r="I9" i="49"/>
  <c r="K9" i="49" s="1"/>
  <c r="I5" i="49"/>
  <c r="K5" i="49" s="1"/>
  <c r="H8" i="49"/>
  <c r="J8" i="49"/>
  <c r="H11" i="49"/>
  <c r="J11" i="49" s="1"/>
  <c r="I7" i="49"/>
  <c r="K7" i="49"/>
  <c r="J10" i="49"/>
  <c r="H10" i="49"/>
  <c r="H6" i="49"/>
  <c r="J6" i="49" s="1"/>
  <c r="J5" i="49"/>
  <c r="F12" i="49"/>
  <c r="F8" i="49"/>
  <c r="J9" i="49"/>
  <c r="F11" i="49"/>
  <c r="J4" i="49"/>
  <c r="E7" i="49"/>
  <c r="E13" i="49"/>
  <c r="F10" i="49"/>
  <c r="F6" i="49"/>
  <c r="H5" i="49"/>
  <c r="I4" i="49"/>
  <c r="K4" i="49" s="1"/>
  <c r="D2" i="35"/>
  <c r="E2" i="35" s="1"/>
  <c r="F2" i="35" s="1"/>
  <c r="G2" i="35" s="1"/>
  <c r="H2" i="35" s="1"/>
  <c r="I2" i="35" s="1"/>
  <c r="J2" i="35" s="1"/>
  <c r="K2" i="35" s="1"/>
  <c r="L2" i="35" s="1"/>
  <c r="I10" i="49" l="1"/>
  <c r="K10" i="49" s="1"/>
  <c r="I11" i="49"/>
  <c r="K11" i="49"/>
  <c r="F13" i="49"/>
  <c r="H7" i="49"/>
  <c r="H13" i="49" s="1"/>
  <c r="I8" i="49"/>
  <c r="K8" i="49" s="1"/>
  <c r="I6" i="49"/>
  <c r="K6" i="49"/>
  <c r="I12" i="49"/>
  <c r="K12" i="49" s="1"/>
  <c r="B13" i="49"/>
  <c r="D3" i="48"/>
  <c r="F3" i="48" s="1"/>
  <c r="H3" i="48" s="1"/>
  <c r="D4" i="48"/>
  <c r="F4" i="48" s="1"/>
  <c r="H4" i="48" s="1"/>
  <c r="D5" i="48"/>
  <c r="F5" i="48" s="1"/>
  <c r="H5" i="48" s="1"/>
  <c r="D6" i="48"/>
  <c r="F6" i="48" s="1"/>
  <c r="H6" i="48" s="1"/>
  <c r="D7" i="48"/>
  <c r="F7" i="48" s="1"/>
  <c r="H7" i="48" s="1"/>
  <c r="J7" i="48" s="1"/>
  <c r="D8" i="48"/>
  <c r="F8" i="48" s="1"/>
  <c r="H8" i="48" s="1"/>
  <c r="D9" i="48"/>
  <c r="F9" i="48" s="1"/>
  <c r="H9" i="48" s="1"/>
  <c r="J9" i="48" s="1"/>
  <c r="M9" i="48" s="1"/>
  <c r="S9" i="48" s="1"/>
  <c r="D10" i="48"/>
  <c r="F10" i="48" s="1"/>
  <c r="H10" i="48" s="1"/>
  <c r="D11" i="48"/>
  <c r="F11" i="48" s="1"/>
  <c r="H11" i="48" s="1"/>
  <c r="D12" i="48"/>
  <c r="F12" i="48" s="1"/>
  <c r="H12" i="48" s="1"/>
  <c r="D13" i="48"/>
  <c r="F13" i="48" s="1"/>
  <c r="H13" i="48" s="1"/>
  <c r="D14" i="48"/>
  <c r="F14" i="48" s="1"/>
  <c r="H14" i="48" s="1"/>
  <c r="D15" i="48"/>
  <c r="F15" i="48" s="1"/>
  <c r="H15" i="48" s="1"/>
  <c r="D16" i="48"/>
  <c r="F16" i="48" s="1"/>
  <c r="H16" i="48" s="1"/>
  <c r="D17" i="48"/>
  <c r="F17" i="48" s="1"/>
  <c r="H17" i="48" s="1"/>
  <c r="J17" i="48" s="1"/>
  <c r="M17" i="48" s="1"/>
  <c r="S17" i="48" s="1"/>
  <c r="D18" i="48"/>
  <c r="F18" i="48" s="1"/>
  <c r="H18" i="48" s="1"/>
  <c r="D2" i="48"/>
  <c r="F2" i="48" s="1"/>
  <c r="H2" i="48" s="1"/>
  <c r="I13" i="49" l="1"/>
  <c r="K13" i="49"/>
  <c r="J7" i="49"/>
  <c r="J13" i="49" s="1"/>
  <c r="L13" i="49" s="1"/>
  <c r="J8" i="48"/>
  <c r="Q8" i="48" s="1"/>
  <c r="J6" i="48"/>
  <c r="J15" i="48"/>
  <c r="K15" i="48" s="1"/>
  <c r="J13" i="48"/>
  <c r="K13" i="48" s="1"/>
  <c r="J4" i="48"/>
  <c r="K4" i="48" s="1"/>
  <c r="M7" i="48"/>
  <c r="S7" i="48" s="1"/>
  <c r="Q7" i="48"/>
  <c r="K7" i="48"/>
  <c r="J14" i="48"/>
  <c r="K14" i="48" s="1"/>
  <c r="J12" i="48"/>
  <c r="J5" i="48"/>
  <c r="J18" i="48"/>
  <c r="J11" i="48"/>
  <c r="K9" i="48"/>
  <c r="Q17" i="48"/>
  <c r="U17" i="48" s="1"/>
  <c r="J10" i="48"/>
  <c r="J3" i="48"/>
  <c r="J16" i="48"/>
  <c r="K17" i="48"/>
  <c r="Q9" i="48"/>
  <c r="U9" i="48" s="1"/>
  <c r="J2" i="48"/>
  <c r="U7" i="48" l="1"/>
  <c r="U8" i="48"/>
  <c r="K8" i="48"/>
  <c r="R8" i="48" s="1"/>
  <c r="M8" i="48"/>
  <c r="S8" i="48" s="1"/>
  <c r="N13" i="48"/>
  <c r="T13" i="48" s="1"/>
  <c r="R13" i="48"/>
  <c r="R15" i="48"/>
  <c r="N15" i="48"/>
  <c r="T15" i="48" s="1"/>
  <c r="M12" i="48"/>
  <c r="S12" i="48" s="1"/>
  <c r="Q12" i="48"/>
  <c r="N4" i="48"/>
  <c r="T4" i="48" s="1"/>
  <c r="R4" i="48"/>
  <c r="M16" i="48"/>
  <c r="S16" i="48" s="1"/>
  <c r="Q16" i="48"/>
  <c r="K12" i="48"/>
  <c r="Q3" i="48"/>
  <c r="M3" i="48"/>
  <c r="S3" i="48" s="1"/>
  <c r="Q11" i="48"/>
  <c r="M11" i="48"/>
  <c r="S11" i="48" s="1"/>
  <c r="R14" i="48"/>
  <c r="N14" i="48"/>
  <c r="T14" i="48" s="1"/>
  <c r="K3" i="48"/>
  <c r="K11" i="48"/>
  <c r="Q14" i="48"/>
  <c r="M14" i="48"/>
  <c r="S14" i="48" s="1"/>
  <c r="Q13" i="48"/>
  <c r="M13" i="48"/>
  <c r="S13" i="48" s="1"/>
  <c r="M10" i="48"/>
  <c r="S10" i="48" s="1"/>
  <c r="Q10" i="48"/>
  <c r="U10" i="48" s="1"/>
  <c r="R7" i="48"/>
  <c r="N7" i="48"/>
  <c r="T7" i="48" s="1"/>
  <c r="M2" i="48"/>
  <c r="S2" i="48" s="1"/>
  <c r="Q5" i="48"/>
  <c r="M5" i="48"/>
  <c r="S5" i="48" s="1"/>
  <c r="Q6" i="48"/>
  <c r="M6" i="48"/>
  <c r="S6" i="48" s="1"/>
  <c r="N17" i="48"/>
  <c r="T17" i="48" s="1"/>
  <c r="R17" i="48"/>
  <c r="M18" i="48"/>
  <c r="S18" i="48" s="1"/>
  <c r="Q18" i="48"/>
  <c r="M15" i="48"/>
  <c r="S15" i="48" s="1"/>
  <c r="Q15" i="48"/>
  <c r="U15" i="48" s="1"/>
  <c r="K10" i="48"/>
  <c r="K18" i="48"/>
  <c r="K16" i="48"/>
  <c r="K2" i="48"/>
  <c r="N9" i="48"/>
  <c r="T9" i="48" s="1"/>
  <c r="R9" i="48"/>
  <c r="K5" i="48"/>
  <c r="Q4" i="48"/>
  <c r="M4" i="48"/>
  <c r="S4" i="48" s="1"/>
  <c r="K6" i="48"/>
  <c r="V4" i="48" l="1"/>
  <c r="U14" i="48"/>
  <c r="V17" i="48"/>
  <c r="W17" i="48" s="1"/>
  <c r="N8" i="48"/>
  <c r="T8" i="48" s="1"/>
  <c r="V8" i="48" s="1"/>
  <c r="W8" i="48" s="1"/>
  <c r="V15" i="48"/>
  <c r="W15" i="48" s="1"/>
  <c r="V7" i="48"/>
  <c r="W7" i="48" s="1"/>
  <c r="U16" i="48"/>
  <c r="V13" i="48"/>
  <c r="U3" i="48"/>
  <c r="U2" i="48"/>
  <c r="U6" i="48"/>
  <c r="V14" i="48"/>
  <c r="U4" i="48"/>
  <c r="W4" i="48" s="1"/>
  <c r="U5" i="48"/>
  <c r="U13" i="48"/>
  <c r="U11" i="48"/>
  <c r="U12" i="48"/>
  <c r="V9" i="48"/>
  <c r="W9" i="48" s="1"/>
  <c r="U18" i="48"/>
  <c r="N16" i="48"/>
  <c r="T16" i="48" s="1"/>
  <c r="R16" i="48"/>
  <c r="N10" i="48"/>
  <c r="T10" i="48" s="1"/>
  <c r="R10" i="48"/>
  <c r="N3" i="48"/>
  <c r="T3" i="48" s="1"/>
  <c r="R3" i="48"/>
  <c r="R6" i="48"/>
  <c r="N6" i="48"/>
  <c r="T6" i="48" s="1"/>
  <c r="R5" i="48"/>
  <c r="N5" i="48"/>
  <c r="T5" i="48" s="1"/>
  <c r="N18" i="48"/>
  <c r="T18" i="48" s="1"/>
  <c r="R18" i="48"/>
  <c r="N2" i="48"/>
  <c r="T2" i="48" s="1"/>
  <c r="N11" i="48"/>
  <c r="T11" i="48" s="1"/>
  <c r="R11" i="48"/>
  <c r="R12" i="48"/>
  <c r="N12" i="48"/>
  <c r="T12" i="48" s="1"/>
  <c r="S3" i="43"/>
  <c r="S4" i="43"/>
  <c r="S5" i="43"/>
  <c r="S6" i="43"/>
  <c r="S7" i="43"/>
  <c r="S8" i="43"/>
  <c r="S9" i="43"/>
  <c r="S10" i="43"/>
  <c r="S11" i="43"/>
  <c r="S12" i="43"/>
  <c r="S13" i="43"/>
  <c r="S14" i="43"/>
  <c r="S15" i="43"/>
  <c r="S16" i="43"/>
  <c r="S17" i="43"/>
  <c r="S18" i="43"/>
  <c r="S2" i="43"/>
  <c r="R3" i="43"/>
  <c r="R4" i="43"/>
  <c r="R5" i="43"/>
  <c r="R6" i="43"/>
  <c r="R7" i="43"/>
  <c r="R8" i="43"/>
  <c r="R9" i="43"/>
  <c r="R10" i="43"/>
  <c r="R11" i="43"/>
  <c r="R12" i="43"/>
  <c r="R13" i="43"/>
  <c r="R14" i="43"/>
  <c r="R15" i="43"/>
  <c r="R16" i="43"/>
  <c r="R17" i="43"/>
  <c r="R18" i="43"/>
  <c r="R2" i="43"/>
  <c r="Q3" i="43"/>
  <c r="Q4" i="43"/>
  <c r="Q5" i="43"/>
  <c r="Q6" i="43"/>
  <c r="Q7" i="43"/>
  <c r="Q8" i="43"/>
  <c r="Q9" i="43"/>
  <c r="Q10" i="43"/>
  <c r="Q11" i="43"/>
  <c r="Q12" i="43"/>
  <c r="Q13" i="43"/>
  <c r="Q14" i="43"/>
  <c r="Q15" i="43"/>
  <c r="Q16" i="43"/>
  <c r="Q17" i="43"/>
  <c r="Q18" i="43"/>
  <c r="Q2" i="43"/>
  <c r="P3" i="43"/>
  <c r="P4" i="43"/>
  <c r="O4" i="43" s="1"/>
  <c r="P5" i="43"/>
  <c r="P6" i="43"/>
  <c r="P7" i="43"/>
  <c r="P8" i="43"/>
  <c r="P9" i="43"/>
  <c r="P10" i="43"/>
  <c r="P11" i="43"/>
  <c r="P12" i="43"/>
  <c r="O12" i="43" s="1"/>
  <c r="P13" i="43"/>
  <c r="P14" i="43"/>
  <c r="P15" i="43"/>
  <c r="P16" i="43"/>
  <c r="P17" i="43"/>
  <c r="P18" i="43"/>
  <c r="P2" i="43"/>
  <c r="V5" i="48" l="1"/>
  <c r="W5" i="48" s="1"/>
  <c r="W14" i="48"/>
  <c r="W13" i="48"/>
  <c r="V12" i="48"/>
  <c r="W12" i="48" s="1"/>
  <c r="O2" i="43"/>
  <c r="O3" i="43"/>
  <c r="O11" i="43"/>
  <c r="V3" i="48"/>
  <c r="W3" i="48" s="1"/>
  <c r="R2" i="48"/>
  <c r="V2" i="48" s="1"/>
  <c r="W2" i="48" s="1"/>
  <c r="V18" i="48"/>
  <c r="W18" i="48" s="1"/>
  <c r="V10" i="48"/>
  <c r="W10" i="48" s="1"/>
  <c r="V16" i="48"/>
  <c r="W16" i="48" s="1"/>
  <c r="V11" i="48"/>
  <c r="W11" i="48" s="1"/>
  <c r="V6" i="48"/>
  <c r="W6" i="48" s="1"/>
  <c r="O15" i="43"/>
  <c r="O7" i="43"/>
  <c r="O14" i="43"/>
  <c r="O6" i="43"/>
  <c r="O13" i="43"/>
  <c r="O5" i="43"/>
  <c r="O18" i="43"/>
  <c r="O10" i="43"/>
  <c r="O17" i="43"/>
  <c r="O9" i="43"/>
  <c r="O16" i="43"/>
  <c r="O8" i="43"/>
  <c r="AO8" i="43"/>
  <c r="AU8" i="43" s="1"/>
  <c r="AF8" i="43"/>
  <c r="AK3" i="43"/>
  <c r="AQ3" i="43" s="1"/>
  <c r="C5" i="38" s="1"/>
  <c r="AK4" i="43"/>
  <c r="AQ4" i="43" s="1"/>
  <c r="C6" i="38" s="1"/>
  <c r="AK5" i="43"/>
  <c r="AQ5" i="43" s="1"/>
  <c r="C7" i="38" s="1"/>
  <c r="AK6" i="43"/>
  <c r="AQ6" i="43" s="1"/>
  <c r="C8" i="38" s="1"/>
  <c r="AK7" i="43"/>
  <c r="AQ7" i="43" s="1"/>
  <c r="C9" i="38" s="1"/>
  <c r="AK8" i="43"/>
  <c r="AQ8" i="43" s="1"/>
  <c r="C10" i="38" s="1"/>
  <c r="AK9" i="43"/>
  <c r="AQ9" i="43" s="1"/>
  <c r="C11" i="38" s="1"/>
  <c r="AK10" i="43"/>
  <c r="AQ10" i="43" s="1"/>
  <c r="C12" i="38" s="1"/>
  <c r="AK11" i="43"/>
  <c r="AQ11" i="43" s="1"/>
  <c r="C13" i="38" s="1"/>
  <c r="AK12" i="43"/>
  <c r="AQ12" i="43" s="1"/>
  <c r="C14" i="38" s="1"/>
  <c r="AK13" i="43"/>
  <c r="AQ13" i="43" s="1"/>
  <c r="C15" i="38" s="1"/>
  <c r="AK14" i="43"/>
  <c r="AQ14" i="43" s="1"/>
  <c r="C16" i="38" s="1"/>
  <c r="AK15" i="43"/>
  <c r="AQ15" i="43" s="1"/>
  <c r="C17" i="38" s="1"/>
  <c r="AK16" i="43"/>
  <c r="AQ16" i="43" s="1"/>
  <c r="C18" i="38" s="1"/>
  <c r="AK17" i="43"/>
  <c r="AQ17" i="43" s="1"/>
  <c r="C19" i="38" s="1"/>
  <c r="AK18" i="43"/>
  <c r="AQ18" i="43" s="1"/>
  <c r="C20" i="38" s="1"/>
  <c r="AJ3" i="43"/>
  <c r="AP3" i="43" s="1"/>
  <c r="AJ4" i="43"/>
  <c r="AP4" i="43" s="1"/>
  <c r="AV4" i="43" s="1"/>
  <c r="AJ5" i="43"/>
  <c r="AP5" i="43" s="1"/>
  <c r="AV5" i="43" s="1"/>
  <c r="AJ6" i="43"/>
  <c r="AP6" i="43" s="1"/>
  <c r="AV6" i="43" s="1"/>
  <c r="AJ7" i="43"/>
  <c r="AP7" i="43" s="1"/>
  <c r="AV7" i="43" s="1"/>
  <c r="AJ8" i="43"/>
  <c r="AP8" i="43" s="1"/>
  <c r="AV8" i="43" s="1"/>
  <c r="AJ9" i="43"/>
  <c r="AP9" i="43" s="1"/>
  <c r="AV9" i="43" s="1"/>
  <c r="AJ10" i="43"/>
  <c r="AP10" i="43" s="1"/>
  <c r="AV10" i="43" s="1"/>
  <c r="AJ11" i="43"/>
  <c r="AP11" i="43" s="1"/>
  <c r="AV11" i="43" s="1"/>
  <c r="AJ12" i="43"/>
  <c r="AP12" i="43" s="1"/>
  <c r="AV12" i="43" s="1"/>
  <c r="AJ13" i="43"/>
  <c r="AP13" i="43" s="1"/>
  <c r="AV13" i="43" s="1"/>
  <c r="AJ14" i="43"/>
  <c r="AP14" i="43" s="1"/>
  <c r="AV14" i="43" s="1"/>
  <c r="AJ15" i="43"/>
  <c r="AP15" i="43" s="1"/>
  <c r="AV15" i="43" s="1"/>
  <c r="AJ16" i="43"/>
  <c r="AP16" i="43" s="1"/>
  <c r="AV16" i="43" s="1"/>
  <c r="AJ17" i="43"/>
  <c r="AP17" i="43" s="1"/>
  <c r="AV17" i="43" s="1"/>
  <c r="AJ18" i="43"/>
  <c r="AP18" i="43" s="1"/>
  <c r="AV18" i="43" s="1"/>
  <c r="AI3" i="43"/>
  <c r="AI4" i="43"/>
  <c r="AO4" i="43" s="1"/>
  <c r="AU4" i="43" s="1"/>
  <c r="AI5" i="43"/>
  <c r="AO5" i="43" s="1"/>
  <c r="AU5" i="43" s="1"/>
  <c r="AI6" i="43"/>
  <c r="AO6" i="43" s="1"/>
  <c r="AU6" i="43" s="1"/>
  <c r="AI7" i="43"/>
  <c r="AO7" i="43" s="1"/>
  <c r="AU7" i="43" s="1"/>
  <c r="AI8" i="43"/>
  <c r="AI9" i="43"/>
  <c r="AO9" i="43" s="1"/>
  <c r="AU9" i="43" s="1"/>
  <c r="AI10" i="43"/>
  <c r="AO10" i="43" s="1"/>
  <c r="AU10" i="43" s="1"/>
  <c r="AI11" i="43"/>
  <c r="AO11" i="43" s="1"/>
  <c r="AU11" i="43" s="1"/>
  <c r="AI12" i="43"/>
  <c r="AO12" i="43" s="1"/>
  <c r="AU12" i="43" s="1"/>
  <c r="AI13" i="43"/>
  <c r="AO13" i="43" s="1"/>
  <c r="AU13" i="43" s="1"/>
  <c r="AI14" i="43"/>
  <c r="AO14" i="43" s="1"/>
  <c r="AU14" i="43" s="1"/>
  <c r="AI15" i="43"/>
  <c r="AO15" i="43" s="1"/>
  <c r="AU15" i="43" s="1"/>
  <c r="AI16" i="43"/>
  <c r="AO16" i="43" s="1"/>
  <c r="AU16" i="43" s="1"/>
  <c r="AI17" i="43"/>
  <c r="AO17" i="43" s="1"/>
  <c r="AU17" i="43" s="1"/>
  <c r="AI18" i="43"/>
  <c r="AO18" i="43" s="1"/>
  <c r="AU18" i="43" s="1"/>
  <c r="AH3" i="43"/>
  <c r="AH4" i="43"/>
  <c r="AN4" i="43" s="1"/>
  <c r="AH5" i="43"/>
  <c r="AN5" i="43" s="1"/>
  <c r="AH6" i="43"/>
  <c r="AN6" i="43" s="1"/>
  <c r="AH7" i="43"/>
  <c r="AN7" i="43" s="1"/>
  <c r="AH8" i="43"/>
  <c r="AN8" i="43" s="1"/>
  <c r="AH9" i="43"/>
  <c r="AG9" i="43" s="1"/>
  <c r="AH10" i="43"/>
  <c r="AN10" i="43" s="1"/>
  <c r="AH11" i="43"/>
  <c r="AN11" i="43" s="1"/>
  <c r="AH12" i="43"/>
  <c r="AN12" i="43" s="1"/>
  <c r="AH13" i="43"/>
  <c r="AN13" i="43" s="1"/>
  <c r="AH14" i="43"/>
  <c r="AG14" i="43" s="1"/>
  <c r="AH15" i="43"/>
  <c r="AN15" i="43" s="1"/>
  <c r="AH16" i="43"/>
  <c r="AF16" i="43" s="1"/>
  <c r="AH17" i="43"/>
  <c r="AG17" i="43" s="1"/>
  <c r="AH18" i="43"/>
  <c r="AN18" i="43" s="1"/>
  <c r="M3" i="43"/>
  <c r="Y3" i="43" s="1"/>
  <c r="M4" i="43"/>
  <c r="Y4" i="43" s="1"/>
  <c r="M5" i="43"/>
  <c r="Y5" i="43" s="1"/>
  <c r="M6" i="43"/>
  <c r="Y6" i="43" s="1"/>
  <c r="M7" i="43"/>
  <c r="Y7" i="43" s="1"/>
  <c r="M8" i="43"/>
  <c r="Y8" i="43" s="1"/>
  <c r="M9" i="43"/>
  <c r="Y9" i="43" s="1"/>
  <c r="M10" i="43"/>
  <c r="Y10" i="43" s="1"/>
  <c r="M11" i="43"/>
  <c r="Y11" i="43" s="1"/>
  <c r="M12" i="43"/>
  <c r="Y12" i="43" s="1"/>
  <c r="M13" i="43"/>
  <c r="Y13" i="43" s="1"/>
  <c r="M14" i="43"/>
  <c r="Y14" i="43" s="1"/>
  <c r="M15" i="43"/>
  <c r="Y15" i="43" s="1"/>
  <c r="M16" i="43"/>
  <c r="Y16" i="43" s="1"/>
  <c r="M17" i="43"/>
  <c r="Y17" i="43" s="1"/>
  <c r="M18" i="43"/>
  <c r="Y18" i="43" s="1"/>
  <c r="M2" i="43"/>
  <c r="Y2" i="43" s="1"/>
  <c r="L3" i="43"/>
  <c r="X3" i="43" s="1"/>
  <c r="L4" i="43"/>
  <c r="X4" i="43" s="1"/>
  <c r="L5" i="43"/>
  <c r="X5" i="43" s="1"/>
  <c r="L6" i="43"/>
  <c r="X6" i="43" s="1"/>
  <c r="L7" i="43"/>
  <c r="X7" i="43" s="1"/>
  <c r="L8" i="43"/>
  <c r="X8" i="43" s="1"/>
  <c r="L9" i="43"/>
  <c r="X9" i="43" s="1"/>
  <c r="L10" i="43"/>
  <c r="X10" i="43" s="1"/>
  <c r="L11" i="43"/>
  <c r="X11" i="43" s="1"/>
  <c r="L12" i="43"/>
  <c r="X12" i="43" s="1"/>
  <c r="L13" i="43"/>
  <c r="X13" i="43" s="1"/>
  <c r="L14" i="43"/>
  <c r="X14" i="43" s="1"/>
  <c r="L15" i="43"/>
  <c r="X15" i="43" s="1"/>
  <c r="L16" i="43"/>
  <c r="X16" i="43" s="1"/>
  <c r="L17" i="43"/>
  <c r="X17" i="43" s="1"/>
  <c r="L18" i="43"/>
  <c r="X18" i="43" s="1"/>
  <c r="L2" i="43"/>
  <c r="X2" i="43" s="1"/>
  <c r="K3" i="43"/>
  <c r="W3" i="43" s="1"/>
  <c r="K4" i="43"/>
  <c r="W4" i="43" s="1"/>
  <c r="K5" i="43"/>
  <c r="W5" i="43" s="1"/>
  <c r="K6" i="43"/>
  <c r="W6" i="43" s="1"/>
  <c r="K7" i="43"/>
  <c r="W7" i="43" s="1"/>
  <c r="K8" i="43"/>
  <c r="W8" i="43" s="1"/>
  <c r="K9" i="43"/>
  <c r="W9" i="43" s="1"/>
  <c r="K10" i="43"/>
  <c r="W10" i="43" s="1"/>
  <c r="K11" i="43"/>
  <c r="W11" i="43" s="1"/>
  <c r="K12" i="43"/>
  <c r="W12" i="43" s="1"/>
  <c r="K13" i="43"/>
  <c r="W13" i="43" s="1"/>
  <c r="K14" i="43"/>
  <c r="W14" i="43" s="1"/>
  <c r="K15" i="43"/>
  <c r="W15" i="43" s="1"/>
  <c r="K16" i="43"/>
  <c r="W16" i="43" s="1"/>
  <c r="K17" i="43"/>
  <c r="W17" i="43" s="1"/>
  <c r="K18" i="43"/>
  <c r="W18" i="43" s="1"/>
  <c r="K2" i="43"/>
  <c r="W2" i="43" s="1"/>
  <c r="J3" i="43"/>
  <c r="J4" i="43"/>
  <c r="J5" i="43"/>
  <c r="V5" i="43" s="1"/>
  <c r="J6" i="43"/>
  <c r="V6" i="43" s="1"/>
  <c r="J7" i="43"/>
  <c r="V7" i="43" s="1"/>
  <c r="J8" i="43"/>
  <c r="V8" i="43" s="1"/>
  <c r="J9" i="43"/>
  <c r="V9" i="43" s="1"/>
  <c r="J10" i="43"/>
  <c r="V10" i="43" s="1"/>
  <c r="J11" i="43"/>
  <c r="V11" i="43" s="1"/>
  <c r="J12" i="43"/>
  <c r="J13" i="43"/>
  <c r="V13" i="43" s="1"/>
  <c r="J14" i="43"/>
  <c r="V14" i="43" s="1"/>
  <c r="J15" i="43"/>
  <c r="V15" i="43" s="1"/>
  <c r="J16" i="43"/>
  <c r="V16" i="43" s="1"/>
  <c r="J17" i="43"/>
  <c r="V17" i="43" s="1"/>
  <c r="J18" i="43"/>
  <c r="J2" i="43"/>
  <c r="V2" i="43" s="1"/>
  <c r="C18" i="43"/>
  <c r="C17" i="43"/>
  <c r="C16" i="43"/>
  <c r="C15" i="43"/>
  <c r="C14" i="43"/>
  <c r="C13" i="43"/>
  <c r="C12" i="43"/>
  <c r="C11" i="43"/>
  <c r="C10" i="43"/>
  <c r="C9" i="43"/>
  <c r="C8" i="43"/>
  <c r="C7" i="43"/>
  <c r="C6" i="43"/>
  <c r="C5" i="43"/>
  <c r="C4" i="43"/>
  <c r="C3" i="43"/>
  <c r="C2" i="43"/>
  <c r="H12" i="43" l="1"/>
  <c r="H4" i="43"/>
  <c r="H18" i="43"/>
  <c r="AF15" i="43"/>
  <c r="AW18" i="43"/>
  <c r="I17" i="43"/>
  <c r="AW4" i="43"/>
  <c r="AW10" i="43"/>
  <c r="I16" i="43"/>
  <c r="V18" i="43"/>
  <c r="T18" i="43" s="1"/>
  <c r="AB18" i="43" s="1"/>
  <c r="AF7" i="43"/>
  <c r="I9" i="43"/>
  <c r="AG16" i="43"/>
  <c r="AN16" i="43"/>
  <c r="AT16" i="43" s="1"/>
  <c r="AW11" i="43"/>
  <c r="H9" i="43"/>
  <c r="AW5" i="43"/>
  <c r="I8" i="43"/>
  <c r="AW17" i="43"/>
  <c r="AW9" i="43"/>
  <c r="AG15" i="43"/>
  <c r="I2" i="43"/>
  <c r="I11" i="43"/>
  <c r="I3" i="43"/>
  <c r="V3" i="43"/>
  <c r="U3" i="43" s="1"/>
  <c r="AW16" i="43"/>
  <c r="AW8" i="43"/>
  <c r="AG8" i="43"/>
  <c r="AW13" i="43"/>
  <c r="AW12" i="43"/>
  <c r="I18" i="43"/>
  <c r="I10" i="43"/>
  <c r="H17" i="43"/>
  <c r="AW15" i="43"/>
  <c r="AW7" i="43"/>
  <c r="AG7" i="43"/>
  <c r="U2" i="43"/>
  <c r="H10" i="43"/>
  <c r="AW14" i="43"/>
  <c r="AW6" i="43"/>
  <c r="AL8" i="43"/>
  <c r="AL13" i="43"/>
  <c r="AM13" i="43"/>
  <c r="AT13" i="43"/>
  <c r="AS13" i="43" s="1"/>
  <c r="AL5" i="43"/>
  <c r="AM5" i="43"/>
  <c r="AT5" i="43"/>
  <c r="AS5" i="43" s="1"/>
  <c r="AT12" i="43"/>
  <c r="AR12" i="43" s="1"/>
  <c r="AL12" i="43"/>
  <c r="AM12" i="43"/>
  <c r="AT4" i="43"/>
  <c r="AS4" i="43" s="1"/>
  <c r="AL4" i="43"/>
  <c r="AM4" i="43"/>
  <c r="AL6" i="43"/>
  <c r="AM6" i="43"/>
  <c r="B8" i="38" s="1"/>
  <c r="AT6" i="43"/>
  <c r="AR6" i="43" s="1"/>
  <c r="AT11" i="43"/>
  <c r="AS11" i="43" s="1"/>
  <c r="AL11" i="43"/>
  <c r="AM11" i="43"/>
  <c r="AP2" i="43"/>
  <c r="AV3" i="43"/>
  <c r="T14" i="43"/>
  <c r="AC14" i="43" s="1"/>
  <c r="AM18" i="43"/>
  <c r="B20" i="38" s="1"/>
  <c r="AL18" i="43"/>
  <c r="AT18" i="43"/>
  <c r="AS18" i="43" s="1"/>
  <c r="AL10" i="43"/>
  <c r="AT10" i="43"/>
  <c r="AS10" i="43" s="1"/>
  <c r="AM10" i="43"/>
  <c r="AL7" i="43"/>
  <c r="U13" i="43"/>
  <c r="T6" i="43"/>
  <c r="AE6" i="43" s="1"/>
  <c r="AL15" i="43"/>
  <c r="AG6" i="43"/>
  <c r="H2" i="43"/>
  <c r="H11" i="43"/>
  <c r="H3" i="43"/>
  <c r="V12" i="43"/>
  <c r="U12" i="43" s="1"/>
  <c r="V4" i="43"/>
  <c r="U4" i="43" s="1"/>
  <c r="AF17" i="43"/>
  <c r="AF9" i="43"/>
  <c r="AN17" i="43"/>
  <c r="AN9" i="43"/>
  <c r="U5" i="43"/>
  <c r="AQ2" i="43"/>
  <c r="I15" i="43"/>
  <c r="I7" i="43"/>
  <c r="H16" i="43"/>
  <c r="H8" i="43"/>
  <c r="AG13" i="43"/>
  <c r="AG5" i="43"/>
  <c r="AF14" i="43"/>
  <c r="AF6" i="43"/>
  <c r="AN14" i="43"/>
  <c r="AT15" i="43"/>
  <c r="AS15" i="43" s="1"/>
  <c r="AT7" i="43"/>
  <c r="AS7" i="43" s="1"/>
  <c r="AT8" i="43"/>
  <c r="I14" i="43"/>
  <c r="I6" i="43"/>
  <c r="H15" i="43"/>
  <c r="H7" i="43"/>
  <c r="AH2" i="43"/>
  <c r="AI2" i="43"/>
  <c r="AJ2" i="43"/>
  <c r="AK2" i="43"/>
  <c r="AG12" i="43"/>
  <c r="AG4" i="43"/>
  <c r="AF13" i="43"/>
  <c r="AF5" i="43"/>
  <c r="AM8" i="43"/>
  <c r="I13" i="43"/>
  <c r="I5" i="43"/>
  <c r="H14" i="43"/>
  <c r="H6" i="43"/>
  <c r="AG11" i="43"/>
  <c r="AG3" i="43"/>
  <c r="AF12" i="43"/>
  <c r="AF4" i="43"/>
  <c r="AM15" i="43"/>
  <c r="B17" i="38" s="1"/>
  <c r="AM7" i="43"/>
  <c r="I12" i="43"/>
  <c r="I4" i="43"/>
  <c r="H13" i="43"/>
  <c r="H5" i="43"/>
  <c r="AG18" i="43"/>
  <c r="AG10" i="43"/>
  <c r="AF11" i="43"/>
  <c r="AF3" i="43"/>
  <c r="AN3" i="43"/>
  <c r="AF18" i="43"/>
  <c r="AF10" i="43"/>
  <c r="AO3" i="43"/>
  <c r="AW3" i="43"/>
  <c r="T16" i="43"/>
  <c r="AE16" i="43" s="1"/>
  <c r="T8" i="43"/>
  <c r="AE8" i="43" s="1"/>
  <c r="T5" i="43"/>
  <c r="AE5" i="43" s="1"/>
  <c r="T11" i="43"/>
  <c r="AE11" i="43" s="1"/>
  <c r="U6" i="43"/>
  <c r="U16" i="43"/>
  <c r="U14" i="43"/>
  <c r="T13" i="43"/>
  <c r="AE13" i="43" s="1"/>
  <c r="U11" i="43"/>
  <c r="U8" i="43"/>
  <c r="U10" i="43"/>
  <c r="T10" i="43"/>
  <c r="AB10" i="43" s="1"/>
  <c r="U17" i="43"/>
  <c r="U9" i="43"/>
  <c r="T17" i="43"/>
  <c r="AB17" i="43" s="1"/>
  <c r="T9" i="43"/>
  <c r="AB9" i="43" s="1"/>
  <c r="U15" i="43"/>
  <c r="U7" i="43"/>
  <c r="T15" i="43"/>
  <c r="T7" i="43"/>
  <c r="T2" i="43"/>
  <c r="AB2" i="43" s="1"/>
  <c r="T3" i="43" l="1"/>
  <c r="AE3" i="43" s="1"/>
  <c r="U18" i="43"/>
  <c r="AA14" i="43"/>
  <c r="AM16" i="43"/>
  <c r="B18" i="38" s="1"/>
  <c r="D18" i="38" s="1"/>
  <c r="AL16" i="43"/>
  <c r="AC8" i="43"/>
  <c r="AB6" i="43"/>
  <c r="AC16" i="43"/>
  <c r="AR4" i="43"/>
  <c r="AR15" i="43"/>
  <c r="AR8" i="43"/>
  <c r="AR16" i="43"/>
  <c r="AA5" i="43"/>
  <c r="T12" i="43"/>
  <c r="AC12" i="43" s="1"/>
  <c r="AR5" i="43"/>
  <c r="AB14" i="43"/>
  <c r="AR18" i="43"/>
  <c r="AE14" i="43"/>
  <c r="AD14" i="43"/>
  <c r="AS12" i="43"/>
  <c r="G2" i="46"/>
  <c r="C4" i="38"/>
  <c r="AC5" i="43"/>
  <c r="AR11" i="43"/>
  <c r="AD5" i="43"/>
  <c r="B7" i="38"/>
  <c r="D7" i="38" s="1"/>
  <c r="B6" i="38"/>
  <c r="D6" i="38" s="1"/>
  <c r="B13" i="38"/>
  <c r="D13" i="38" s="1"/>
  <c r="B15" i="38"/>
  <c r="D15" i="38" s="1"/>
  <c r="B12" i="38"/>
  <c r="D12" i="38" s="1"/>
  <c r="B9" i="38"/>
  <c r="D9" i="38" s="1"/>
  <c r="AR13" i="43"/>
  <c r="B10" i="38"/>
  <c r="D10" i="38" s="1"/>
  <c r="B14" i="38"/>
  <c r="D14" i="38" s="1"/>
  <c r="AV2" i="43"/>
  <c r="F2" i="46"/>
  <c r="AS16" i="43"/>
  <c r="AS6" i="43"/>
  <c r="AB5" i="43"/>
  <c r="D17" i="38"/>
  <c r="T4" i="43"/>
  <c r="AC4" i="43" s="1"/>
  <c r="AD6" i="43"/>
  <c r="AC6" i="43"/>
  <c r="AA6" i="43"/>
  <c r="AW2" i="43"/>
  <c r="D20" i="38"/>
  <c r="D8" i="38"/>
  <c r="AN2" i="43"/>
  <c r="D2" i="46" s="1"/>
  <c r="AT3" i="43"/>
  <c r="AM3" i="43"/>
  <c r="AL3" i="43"/>
  <c r="AL17" i="43"/>
  <c r="AM17" i="43"/>
  <c r="AT17" i="43"/>
  <c r="AS8" i="43"/>
  <c r="AF2" i="43"/>
  <c r="AG2" i="43"/>
  <c r="AL14" i="43"/>
  <c r="AM14" i="43"/>
  <c r="AT14" i="43"/>
  <c r="AR10" i="43"/>
  <c r="AR7" i="43"/>
  <c r="AO2" i="43"/>
  <c r="AU3" i="43"/>
  <c r="AC11" i="43"/>
  <c r="AB11" i="43"/>
  <c r="AT9" i="43"/>
  <c r="AL9" i="43"/>
  <c r="AM9" i="43"/>
  <c r="AB8" i="43"/>
  <c r="AA16" i="43"/>
  <c r="AB16" i="43"/>
  <c r="AD8" i="43"/>
  <c r="AA8" i="43"/>
  <c r="AD16" i="43"/>
  <c r="AD11" i="43"/>
  <c r="AA11" i="43"/>
  <c r="AD13" i="43"/>
  <c r="AD3" i="43"/>
  <c r="AA10" i="43"/>
  <c r="AA7" i="43"/>
  <c r="AC13" i="43"/>
  <c r="AB13" i="43"/>
  <c r="AA18" i="43"/>
  <c r="AA13" i="43"/>
  <c r="AE7" i="43"/>
  <c r="AD7" i="43"/>
  <c r="AC7" i="43"/>
  <c r="AD12" i="43"/>
  <c r="AE15" i="43"/>
  <c r="AD15" i="43"/>
  <c r="AC15" i="43"/>
  <c r="AA15" i="43"/>
  <c r="AE17" i="43"/>
  <c r="AD17" i="43"/>
  <c r="AC17" i="43"/>
  <c r="AA9" i="43"/>
  <c r="AE10" i="43"/>
  <c r="AD10" i="43"/>
  <c r="AC10" i="43"/>
  <c r="AB15" i="43"/>
  <c r="AE9" i="43"/>
  <c r="AD9" i="43"/>
  <c r="AC9" i="43"/>
  <c r="AA17" i="43"/>
  <c r="AE18" i="43"/>
  <c r="AD18" i="43"/>
  <c r="AC18" i="43"/>
  <c r="AB7" i="43"/>
  <c r="AE2" i="43"/>
  <c r="AD2" i="43"/>
  <c r="AC2" i="43"/>
  <c r="AA2" i="43"/>
  <c r="AB3" i="43" l="1"/>
  <c r="AC3" i="43"/>
  <c r="AA3" i="43"/>
  <c r="AE12" i="43"/>
  <c r="AE4" i="43"/>
  <c r="AA12" i="43"/>
  <c r="AB12" i="43"/>
  <c r="AB4" i="43"/>
  <c r="AA4" i="43"/>
  <c r="AD4" i="43"/>
  <c r="AU2" i="43"/>
  <c r="E2" i="46"/>
  <c r="B2" i="46" s="1"/>
  <c r="B5" i="38"/>
  <c r="D5" i="38" s="1"/>
  <c r="F3" i="46"/>
  <c r="L2" i="46"/>
  <c r="D3" i="46"/>
  <c r="J2" i="46"/>
  <c r="B11" i="38"/>
  <c r="D11" i="38" s="1"/>
  <c r="B19" i="38"/>
  <c r="D19" i="38" s="1"/>
  <c r="B16" i="38"/>
  <c r="D16" i="38" s="1"/>
  <c r="G3" i="46"/>
  <c r="M3" i="40"/>
  <c r="M2" i="46"/>
  <c r="J3" i="40" s="1"/>
  <c r="AS17" i="43"/>
  <c r="AR17" i="43"/>
  <c r="AS14" i="43"/>
  <c r="AR14" i="43"/>
  <c r="AS9" i="43"/>
  <c r="AR9" i="43"/>
  <c r="AS3" i="43"/>
  <c r="AR3" i="43"/>
  <c r="AM2" i="43"/>
  <c r="AT2" i="43"/>
  <c r="AL2" i="43"/>
  <c r="P3" i="40" l="1"/>
  <c r="T3" i="40" s="1"/>
  <c r="C2" i="46"/>
  <c r="L3" i="40" s="1"/>
  <c r="N3" i="40" s="1"/>
  <c r="D4" i="46"/>
  <c r="J3" i="46"/>
  <c r="B4" i="38"/>
  <c r="D4" i="38" s="1"/>
  <c r="F4" i="46"/>
  <c r="L3" i="46"/>
  <c r="K2" i="46"/>
  <c r="I2" i="46" s="1"/>
  <c r="I3" i="40" s="1"/>
  <c r="E3" i="46"/>
  <c r="M4" i="40"/>
  <c r="G4" i="46"/>
  <c r="M3" i="46"/>
  <c r="AR2" i="43"/>
  <c r="AS2" i="43"/>
  <c r="K3" i="40" l="1"/>
  <c r="O3" i="40"/>
  <c r="E4" i="46"/>
  <c r="B4" i="46" s="1"/>
  <c r="K3" i="46"/>
  <c r="I3" i="46" s="1"/>
  <c r="I4" i="40" s="1"/>
  <c r="H2" i="46"/>
  <c r="J4" i="40"/>
  <c r="C3" i="46"/>
  <c r="L4" i="40" s="1"/>
  <c r="F5" i="46"/>
  <c r="L4" i="46"/>
  <c r="B3" i="46"/>
  <c r="M5" i="40"/>
  <c r="M4" i="46"/>
  <c r="G5" i="46"/>
  <c r="J4" i="46"/>
  <c r="D5" i="46"/>
  <c r="G5" i="38"/>
  <c r="G6" i="38"/>
  <c r="G7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4" i="38"/>
  <c r="F5" i="38"/>
  <c r="I5" i="38" s="1"/>
  <c r="F6" i="38"/>
  <c r="I6" i="38" s="1"/>
  <c r="F7" i="38"/>
  <c r="I7" i="38" s="1"/>
  <c r="F8" i="38"/>
  <c r="I8" i="38" s="1"/>
  <c r="F9" i="38"/>
  <c r="I9" i="38" s="1"/>
  <c r="F10" i="38"/>
  <c r="I10" i="38" s="1"/>
  <c r="F11" i="38"/>
  <c r="I11" i="38" s="1"/>
  <c r="F12" i="38"/>
  <c r="I12" i="38" s="1"/>
  <c r="F13" i="38"/>
  <c r="I13" i="38" s="1"/>
  <c r="F14" i="38"/>
  <c r="I14" i="38" s="1"/>
  <c r="F15" i="38"/>
  <c r="I15" i="38" s="1"/>
  <c r="F16" i="38"/>
  <c r="I16" i="38" s="1"/>
  <c r="F17" i="38"/>
  <c r="I17" i="38" s="1"/>
  <c r="F18" i="38"/>
  <c r="I18" i="38" s="1"/>
  <c r="F19" i="38"/>
  <c r="I19" i="38" s="1"/>
  <c r="F20" i="38"/>
  <c r="I20" i="38" s="1"/>
  <c r="F4" i="38"/>
  <c r="I4" i="38" s="1"/>
  <c r="E5" i="38"/>
  <c r="H5" i="38" s="1"/>
  <c r="E6" i="38"/>
  <c r="H6" i="38" s="1"/>
  <c r="E7" i="38"/>
  <c r="H7" i="38" s="1"/>
  <c r="E8" i="38"/>
  <c r="H8" i="38" s="1"/>
  <c r="E9" i="38"/>
  <c r="H9" i="38" s="1"/>
  <c r="E10" i="38"/>
  <c r="H10" i="38" s="1"/>
  <c r="E11" i="38"/>
  <c r="H11" i="38" s="1"/>
  <c r="E12" i="38"/>
  <c r="H12" i="38" s="1"/>
  <c r="E13" i="38"/>
  <c r="H13" i="38" s="1"/>
  <c r="E14" i="38"/>
  <c r="H14" i="38" s="1"/>
  <c r="E15" i="38"/>
  <c r="H15" i="38" s="1"/>
  <c r="E16" i="38"/>
  <c r="H16" i="38" s="1"/>
  <c r="E17" i="38"/>
  <c r="H17" i="38" s="1"/>
  <c r="E18" i="38"/>
  <c r="H18" i="38" s="1"/>
  <c r="E19" i="38"/>
  <c r="H19" i="38" s="1"/>
  <c r="E20" i="38"/>
  <c r="H20" i="38" s="1"/>
  <c r="E4" i="38"/>
  <c r="H4" i="38" s="1"/>
  <c r="C4" i="46" l="1"/>
  <c r="L5" i="40" s="1"/>
  <c r="N5" i="40" s="1"/>
  <c r="H3" i="46"/>
  <c r="J5" i="40"/>
  <c r="D6" i="46"/>
  <c r="J5" i="46"/>
  <c r="M6" i="40"/>
  <c r="G6" i="46"/>
  <c r="M5" i="46"/>
  <c r="L5" i="46"/>
  <c r="F6" i="46"/>
  <c r="E5" i="46"/>
  <c r="B5" i="46" s="1"/>
  <c r="K4" i="46"/>
  <c r="H4" i="46" s="1"/>
  <c r="P4" i="40"/>
  <c r="S3" i="40"/>
  <c r="Q3" i="40"/>
  <c r="K4" i="40"/>
  <c r="O4" i="40"/>
  <c r="N4" i="40"/>
  <c r="J18" i="38"/>
  <c r="Q18" i="38"/>
  <c r="J14" i="38"/>
  <c r="Q14" i="38"/>
  <c r="J10" i="38"/>
  <c r="Q10" i="38"/>
  <c r="J6" i="38"/>
  <c r="Q6" i="38"/>
  <c r="R19" i="38"/>
  <c r="R15" i="38"/>
  <c r="R11" i="38"/>
  <c r="R7" i="38"/>
  <c r="Q20" i="38"/>
  <c r="J20" i="38"/>
  <c r="Q16" i="38"/>
  <c r="J16" i="38"/>
  <c r="Q12" i="38"/>
  <c r="J12" i="38"/>
  <c r="Q8" i="38"/>
  <c r="J8" i="38"/>
  <c r="R4" i="38"/>
  <c r="R17" i="38"/>
  <c r="R13" i="38"/>
  <c r="R9" i="38"/>
  <c r="R5" i="38"/>
  <c r="R20" i="38"/>
  <c r="R16" i="38"/>
  <c r="R12" i="38"/>
  <c r="R8" i="38"/>
  <c r="J4" i="38"/>
  <c r="J17" i="38"/>
  <c r="J13" i="38"/>
  <c r="J9" i="38"/>
  <c r="J5" i="38"/>
  <c r="Q4" i="38"/>
  <c r="Q17" i="38"/>
  <c r="Q13" i="38"/>
  <c r="Q9" i="38"/>
  <c r="Q5" i="38"/>
  <c r="R18" i="38"/>
  <c r="R14" i="38"/>
  <c r="R10" i="38"/>
  <c r="R6" i="38"/>
  <c r="J19" i="38"/>
  <c r="J15" i="38"/>
  <c r="J11" i="38"/>
  <c r="J7" i="38"/>
  <c r="Q19" i="38"/>
  <c r="Q15" i="38"/>
  <c r="Q11" i="38"/>
  <c r="Q7" i="38"/>
  <c r="C5" i="46" l="1"/>
  <c r="L6" i="40" s="1"/>
  <c r="N6" i="40" s="1"/>
  <c r="I4" i="46"/>
  <c r="I5" i="40" s="1"/>
  <c r="O5" i="40" s="1"/>
  <c r="S5" i="40" s="1"/>
  <c r="U3" i="40"/>
  <c r="T4" i="40"/>
  <c r="S4" i="40"/>
  <c r="Q4" i="40"/>
  <c r="J6" i="40"/>
  <c r="D7" i="46"/>
  <c r="J6" i="46"/>
  <c r="E6" i="46"/>
  <c r="C6" i="46" s="1"/>
  <c r="L7" i="40" s="1"/>
  <c r="K5" i="46"/>
  <c r="H5" i="46" s="1"/>
  <c r="M7" i="40"/>
  <c r="G7" i="46"/>
  <c r="M6" i="46"/>
  <c r="J7" i="40" s="1"/>
  <c r="P5" i="40"/>
  <c r="T5" i="40" s="1"/>
  <c r="L6" i="46"/>
  <c r="F7" i="46"/>
  <c r="S4" i="38"/>
  <c r="S12" i="38"/>
  <c r="S6" i="38"/>
  <c r="S15" i="38"/>
  <c r="S8" i="38"/>
  <c r="S18" i="38"/>
  <c r="S19" i="38"/>
  <c r="S13" i="38"/>
  <c r="S20" i="38"/>
  <c r="S14" i="38"/>
  <c r="S11" i="38"/>
  <c r="S5" i="38"/>
  <c r="S9" i="38"/>
  <c r="S7" i="38"/>
  <c r="S17" i="38"/>
  <c r="S16" i="38"/>
  <c r="S10" i="38"/>
  <c r="C20" i="34"/>
  <c r="B20" i="35" s="1"/>
  <c r="C19" i="34"/>
  <c r="B19" i="35" s="1"/>
  <c r="C18" i="34"/>
  <c r="B18" i="35" s="1"/>
  <c r="C17" i="34"/>
  <c r="B17" i="35" s="1"/>
  <c r="C16" i="34"/>
  <c r="B16" i="35" s="1"/>
  <c r="C15" i="34"/>
  <c r="B15" i="35" s="1"/>
  <c r="C14" i="34"/>
  <c r="B14" i="35" s="1"/>
  <c r="C13" i="34"/>
  <c r="B13" i="35" s="1"/>
  <c r="C12" i="34"/>
  <c r="B12" i="35" s="1"/>
  <c r="C11" i="34"/>
  <c r="B11" i="35" s="1"/>
  <c r="C10" i="34"/>
  <c r="B10" i="35" s="1"/>
  <c r="C9" i="34"/>
  <c r="B9" i="35" s="1"/>
  <c r="C8" i="34"/>
  <c r="B8" i="35" s="1"/>
  <c r="C7" i="34"/>
  <c r="B7" i="35" s="1"/>
  <c r="C6" i="34"/>
  <c r="B6" i="35" s="1"/>
  <c r="C5" i="34"/>
  <c r="B5" i="35" s="1"/>
  <c r="C4" i="34"/>
  <c r="B4" i="35" s="1"/>
  <c r="K5" i="40" l="1"/>
  <c r="P6" i="40"/>
  <c r="K6" i="46"/>
  <c r="H6" i="46" s="1"/>
  <c r="E7" i="46"/>
  <c r="C7" i="46" s="1"/>
  <c r="L8" i="40" s="1"/>
  <c r="P7" i="40"/>
  <c r="T7" i="40" s="1"/>
  <c r="F8" i="46"/>
  <c r="L7" i="46"/>
  <c r="M8" i="40"/>
  <c r="G8" i="46"/>
  <c r="M7" i="46"/>
  <c r="U4" i="40"/>
  <c r="B6" i="46"/>
  <c r="I5" i="46"/>
  <c r="I6" i="40" s="1"/>
  <c r="Q5" i="40"/>
  <c r="N7" i="40"/>
  <c r="D8" i="46"/>
  <c r="J7" i="46"/>
  <c r="U5" i="40"/>
  <c r="AX6" i="43"/>
  <c r="BA6" i="43" s="1"/>
  <c r="AX5" i="43"/>
  <c r="AX4" i="43"/>
  <c r="AX12" i="43"/>
  <c r="AX7" i="43"/>
  <c r="AX15" i="43"/>
  <c r="AX13" i="43"/>
  <c r="AX16" i="43"/>
  <c r="AX8" i="43"/>
  <c r="AX17" i="43"/>
  <c r="AX14" i="43"/>
  <c r="D4" i="34"/>
  <c r="E4" i="34" s="1"/>
  <c r="AX3" i="43"/>
  <c r="AX10" i="43"/>
  <c r="AX18" i="43"/>
  <c r="AX9" i="43"/>
  <c r="D5" i="34"/>
  <c r="E5" i="34" s="1"/>
  <c r="AX11" i="43"/>
  <c r="D7" i="34"/>
  <c r="D11" i="34"/>
  <c r="D15" i="34"/>
  <c r="D19" i="34"/>
  <c r="D8" i="34"/>
  <c r="D12" i="34"/>
  <c r="D16" i="34"/>
  <c r="D20" i="34"/>
  <c r="D9" i="34"/>
  <c r="D13" i="34"/>
  <c r="D17" i="34"/>
  <c r="D6" i="34"/>
  <c r="D10" i="34"/>
  <c r="D14" i="34"/>
  <c r="D18" i="34"/>
  <c r="B7" i="46" l="1"/>
  <c r="I6" i="46"/>
  <c r="I7" i="40" s="1"/>
  <c r="O7" i="40" s="1"/>
  <c r="Q7" i="40" s="1"/>
  <c r="C5" i="35"/>
  <c r="F9" i="46"/>
  <c r="L8" i="46"/>
  <c r="E8" i="46"/>
  <c r="C8" i="46" s="1"/>
  <c r="L9" i="40" s="1"/>
  <c r="K7" i="46"/>
  <c r="I7" i="46" s="1"/>
  <c r="I8" i="40" s="1"/>
  <c r="J8" i="40"/>
  <c r="O6" i="40"/>
  <c r="C4" i="35"/>
  <c r="M9" i="40"/>
  <c r="M8" i="46"/>
  <c r="G9" i="46"/>
  <c r="D9" i="46"/>
  <c r="J8" i="46"/>
  <c r="N8" i="40"/>
  <c r="T6" i="40"/>
  <c r="K6" i="40"/>
  <c r="BB6" i="43"/>
  <c r="AZ6" i="43"/>
  <c r="BC6" i="43"/>
  <c r="BC14" i="43"/>
  <c r="BB14" i="43"/>
  <c r="BA14" i="43"/>
  <c r="AZ14" i="43"/>
  <c r="BC13" i="43"/>
  <c r="BB13" i="43"/>
  <c r="BA13" i="43"/>
  <c r="AZ13" i="43"/>
  <c r="BC10" i="43"/>
  <c r="BB10" i="43"/>
  <c r="BA10" i="43"/>
  <c r="AZ10" i="43"/>
  <c r="BD3" i="43"/>
  <c r="BC18" i="43"/>
  <c r="BB18" i="43"/>
  <c r="BA18" i="43"/>
  <c r="AZ18" i="43"/>
  <c r="BC11" i="43"/>
  <c r="BB11" i="43"/>
  <c r="BA11" i="43"/>
  <c r="AZ11" i="43"/>
  <c r="BC8" i="43"/>
  <c r="BB8" i="43"/>
  <c r="BA8" i="43"/>
  <c r="AZ8" i="43"/>
  <c r="BC7" i="43"/>
  <c r="BA7" i="43"/>
  <c r="BB7" i="43"/>
  <c r="AZ7" i="43"/>
  <c r="BC4" i="43"/>
  <c r="BB4" i="43"/>
  <c r="BA4" i="43"/>
  <c r="AZ4" i="43"/>
  <c r="BC17" i="43"/>
  <c r="BB17" i="43"/>
  <c r="BA17" i="43"/>
  <c r="AZ17" i="43"/>
  <c r="BC3" i="43"/>
  <c r="BB3" i="43"/>
  <c r="BA3" i="43"/>
  <c r="AZ3" i="43"/>
  <c r="AZ15" i="43"/>
  <c r="BC15" i="43"/>
  <c r="BB15" i="43"/>
  <c r="BA15" i="43"/>
  <c r="BC16" i="43"/>
  <c r="BB16" i="43"/>
  <c r="BA16" i="43"/>
  <c r="AZ16" i="43"/>
  <c r="BC5" i="43"/>
  <c r="BB5" i="43"/>
  <c r="BA5" i="43"/>
  <c r="AZ5" i="43"/>
  <c r="BC12" i="43"/>
  <c r="BB12" i="43"/>
  <c r="BA12" i="43"/>
  <c r="AZ12" i="43"/>
  <c r="BC9" i="43"/>
  <c r="BB9" i="43"/>
  <c r="BA9" i="43"/>
  <c r="AZ9" i="43"/>
  <c r="E7" i="34"/>
  <c r="C7" i="35"/>
  <c r="D5" i="35"/>
  <c r="F5" i="34"/>
  <c r="E12" i="34"/>
  <c r="C12" i="35"/>
  <c r="E16" i="34"/>
  <c r="C16" i="35"/>
  <c r="E8" i="34"/>
  <c r="C8" i="35"/>
  <c r="E17" i="34"/>
  <c r="C17" i="35"/>
  <c r="E14" i="34"/>
  <c r="C14" i="35"/>
  <c r="E13" i="34"/>
  <c r="C13" i="35"/>
  <c r="E19" i="34"/>
  <c r="C19" i="35"/>
  <c r="F4" i="34"/>
  <c r="D4" i="35"/>
  <c r="N3" i="46" s="1"/>
  <c r="E10" i="34"/>
  <c r="C10" i="35"/>
  <c r="E9" i="34"/>
  <c r="C9" i="35"/>
  <c r="E15" i="34"/>
  <c r="C15" i="35"/>
  <c r="E18" i="34"/>
  <c r="C18" i="35"/>
  <c r="E6" i="34"/>
  <c r="C6" i="35"/>
  <c r="E20" i="34"/>
  <c r="C20" i="35"/>
  <c r="E11" i="34"/>
  <c r="C11" i="35"/>
  <c r="S7" i="40" l="1"/>
  <c r="K7" i="40"/>
  <c r="H7" i="46"/>
  <c r="N9" i="40"/>
  <c r="J9" i="40"/>
  <c r="P9" i="40" s="1"/>
  <c r="T9" i="40" s="1"/>
  <c r="L9" i="46"/>
  <c r="F10" i="46"/>
  <c r="K8" i="46"/>
  <c r="E9" i="46"/>
  <c r="B9" i="46" s="1"/>
  <c r="J9" i="46"/>
  <c r="D10" i="46"/>
  <c r="K8" i="40"/>
  <c r="O8" i="40"/>
  <c r="U7" i="40"/>
  <c r="B8" i="46"/>
  <c r="P8" i="40"/>
  <c r="R3" i="46"/>
  <c r="X3" i="46" s="1"/>
  <c r="E4" i="47" s="1"/>
  <c r="J4" i="47" s="1"/>
  <c r="O4" i="47" s="1"/>
  <c r="S3" i="46"/>
  <c r="Q3" i="46"/>
  <c r="W3" i="46" s="1"/>
  <c r="D4" i="47" s="1"/>
  <c r="I4" i="47" s="1"/>
  <c r="N4" i="47" s="1"/>
  <c r="U4" i="47" s="1"/>
  <c r="P3" i="46"/>
  <c r="G5" i="34"/>
  <c r="E5" i="35"/>
  <c r="M10" i="40"/>
  <c r="M9" i="46"/>
  <c r="G10" i="46"/>
  <c r="S6" i="40"/>
  <c r="Q6" i="40"/>
  <c r="AY6" i="43"/>
  <c r="BD13" i="43"/>
  <c r="BI13" i="43" s="1"/>
  <c r="L15" i="38" s="1"/>
  <c r="BD17" i="43"/>
  <c r="BI17" i="43" s="1"/>
  <c r="L19" i="38" s="1"/>
  <c r="AY10" i="43"/>
  <c r="AY14" i="43"/>
  <c r="AY17" i="43"/>
  <c r="AY7" i="43"/>
  <c r="AY11" i="43"/>
  <c r="AY12" i="43"/>
  <c r="BD9" i="43"/>
  <c r="BF9" i="43" s="1"/>
  <c r="BD5" i="43"/>
  <c r="BG5" i="43" s="1"/>
  <c r="BM5" i="43" s="1"/>
  <c r="R7" i="41" s="1"/>
  <c r="AY9" i="43"/>
  <c r="AY5" i="43"/>
  <c r="BC2" i="43"/>
  <c r="BD7" i="43"/>
  <c r="BD11" i="43"/>
  <c r="BD14" i="43"/>
  <c r="BB2" i="43"/>
  <c r="AY13" i="43"/>
  <c r="BD8" i="43"/>
  <c r="BD12" i="43"/>
  <c r="BD10" i="43"/>
  <c r="BI3" i="43"/>
  <c r="L5" i="38" s="1"/>
  <c r="BH3" i="43"/>
  <c r="BG3" i="43"/>
  <c r="BF3" i="43"/>
  <c r="BD4" i="43"/>
  <c r="BD15" i="43"/>
  <c r="AY15" i="43"/>
  <c r="BD16" i="43"/>
  <c r="BD6" i="43"/>
  <c r="AY16" i="43"/>
  <c r="AZ2" i="43"/>
  <c r="AY3" i="43"/>
  <c r="AY4" i="43"/>
  <c r="AY8" i="43"/>
  <c r="AY18" i="43"/>
  <c r="BD18" i="43"/>
  <c r="BA2" i="43"/>
  <c r="F20" i="34"/>
  <c r="D20" i="35"/>
  <c r="F9" i="34"/>
  <c r="D9" i="35"/>
  <c r="F13" i="34"/>
  <c r="D13" i="35"/>
  <c r="F16" i="34"/>
  <c r="D16" i="35"/>
  <c r="F6" i="34"/>
  <c r="D6" i="35"/>
  <c r="F10" i="34"/>
  <c r="D10" i="35"/>
  <c r="F14" i="34"/>
  <c r="D14" i="35"/>
  <c r="F12" i="34"/>
  <c r="D12" i="35"/>
  <c r="F18" i="34"/>
  <c r="D18" i="35"/>
  <c r="G4" i="34"/>
  <c r="E4" i="35"/>
  <c r="N4" i="46" s="1"/>
  <c r="F17" i="34"/>
  <c r="D17" i="35"/>
  <c r="F11" i="34"/>
  <c r="D11" i="35"/>
  <c r="F15" i="34"/>
  <c r="D15" i="35"/>
  <c r="F19" i="34"/>
  <c r="D19" i="35"/>
  <c r="F8" i="34"/>
  <c r="D8" i="35"/>
  <c r="F7" i="34"/>
  <c r="D7" i="35"/>
  <c r="C9" i="46" l="1"/>
  <c r="L10" i="40" s="1"/>
  <c r="J10" i="46"/>
  <c r="D11" i="46"/>
  <c r="J10" i="40"/>
  <c r="V4" i="47"/>
  <c r="Z4" i="47" s="1"/>
  <c r="I8" i="46"/>
  <c r="I9" i="40" s="1"/>
  <c r="G7" i="34"/>
  <c r="E7" i="35"/>
  <c r="G11" i="34"/>
  <c r="E11" i="35"/>
  <c r="G12" i="34"/>
  <c r="E12" i="35"/>
  <c r="G16" i="34"/>
  <c r="E16" i="35"/>
  <c r="H8" i="46"/>
  <c r="F11" i="46"/>
  <c r="L10" i="46"/>
  <c r="G8" i="34"/>
  <c r="E8" i="35"/>
  <c r="G17" i="34"/>
  <c r="E17" i="35"/>
  <c r="G14" i="34"/>
  <c r="E14" i="35"/>
  <c r="G13" i="34"/>
  <c r="E13" i="35"/>
  <c r="BI9" i="43"/>
  <c r="L11" i="38" s="1"/>
  <c r="BH17" i="43"/>
  <c r="BN17" i="43" s="1"/>
  <c r="S19" i="41" s="1"/>
  <c r="T8" i="40"/>
  <c r="N10" i="40"/>
  <c r="R4" i="46"/>
  <c r="X4" i="46" s="1"/>
  <c r="E5" i="47" s="1"/>
  <c r="J5" i="47" s="1"/>
  <c r="O5" i="47" s="1"/>
  <c r="P4" i="46"/>
  <c r="Q4" i="46"/>
  <c r="W4" i="46" s="1"/>
  <c r="D5" i="47" s="1"/>
  <c r="I5" i="47" s="1"/>
  <c r="N5" i="47" s="1"/>
  <c r="S4" i="46"/>
  <c r="U6" i="40"/>
  <c r="H5" i="34"/>
  <c r="F5" i="35"/>
  <c r="G15" i="34"/>
  <c r="E15" i="35"/>
  <c r="G18" i="34"/>
  <c r="E18" i="35"/>
  <c r="G20" i="34"/>
  <c r="E20" i="35"/>
  <c r="C4" i="40"/>
  <c r="Y3" i="46"/>
  <c r="BG9" i="43"/>
  <c r="BM9" i="43" s="1"/>
  <c r="R11" i="41" s="1"/>
  <c r="G19" i="34"/>
  <c r="E19" i="35"/>
  <c r="G10" i="34"/>
  <c r="E10" i="35"/>
  <c r="G9" i="34"/>
  <c r="E9" i="35"/>
  <c r="O3" i="46"/>
  <c r="B4" i="40" s="1"/>
  <c r="F4" i="40" s="1"/>
  <c r="V3" i="46"/>
  <c r="S8" i="40"/>
  <c r="Q8" i="40"/>
  <c r="E10" i="46"/>
  <c r="C10" i="46" s="1"/>
  <c r="L11" i="40" s="1"/>
  <c r="K9" i="46"/>
  <c r="G6" i="34"/>
  <c r="E6" i="35"/>
  <c r="M11" i="40"/>
  <c r="M10" i="46"/>
  <c r="J11" i="40" s="1"/>
  <c r="G11" i="46"/>
  <c r="Y4" i="47"/>
  <c r="AC4" i="47" s="1"/>
  <c r="BH9" i="43"/>
  <c r="BN9" i="43" s="1"/>
  <c r="S11" i="41" s="1"/>
  <c r="BG13" i="43"/>
  <c r="BM13" i="43" s="1"/>
  <c r="R15" i="41" s="1"/>
  <c r="BH5" i="43"/>
  <c r="BN5" i="43" s="1"/>
  <c r="S7" i="41" s="1"/>
  <c r="BI5" i="43"/>
  <c r="BF13" i="43"/>
  <c r="BL13" i="43" s="1"/>
  <c r="BF5" i="43"/>
  <c r="BL5" i="43" s="1"/>
  <c r="BH13" i="43"/>
  <c r="BN13" i="43" s="1"/>
  <c r="S15" i="41" s="1"/>
  <c r="BF17" i="43"/>
  <c r="BG17" i="43"/>
  <c r="BM17" i="43" s="1"/>
  <c r="R19" i="41" s="1"/>
  <c r="U5" i="38"/>
  <c r="X5" i="38" s="1"/>
  <c r="O5" i="38"/>
  <c r="BO17" i="43"/>
  <c r="BO13" i="43"/>
  <c r="BO3" i="43"/>
  <c r="BN3" i="43"/>
  <c r="S5" i="41" s="1"/>
  <c r="BI4" i="43"/>
  <c r="L6" i="38" s="1"/>
  <c r="BH4" i="43"/>
  <c r="BN4" i="43" s="1"/>
  <c r="S6" i="41" s="1"/>
  <c r="BG4" i="43"/>
  <c r="BM4" i="43" s="1"/>
  <c r="R6" i="41" s="1"/>
  <c r="BF4" i="43"/>
  <c r="BI12" i="43"/>
  <c r="L14" i="38" s="1"/>
  <c r="BH12" i="43"/>
  <c r="BN12" i="43" s="1"/>
  <c r="S14" i="41" s="1"/>
  <c r="BG12" i="43"/>
  <c r="BM12" i="43" s="1"/>
  <c r="R14" i="41" s="1"/>
  <c r="BF12" i="43"/>
  <c r="BI11" i="43"/>
  <c r="L13" i="38" s="1"/>
  <c r="BH11" i="43"/>
  <c r="BN11" i="43" s="1"/>
  <c r="S13" i="41" s="1"/>
  <c r="BG11" i="43"/>
  <c r="BM11" i="43" s="1"/>
  <c r="R13" i="41" s="1"/>
  <c r="BF11" i="43"/>
  <c r="BI14" i="43"/>
  <c r="L16" i="38" s="1"/>
  <c r="BH14" i="43"/>
  <c r="BN14" i="43" s="1"/>
  <c r="S16" i="41" s="1"/>
  <c r="BG14" i="43"/>
  <c r="BM14" i="43" s="1"/>
  <c r="R16" i="41" s="1"/>
  <c r="BF14" i="43"/>
  <c r="BI18" i="43"/>
  <c r="L20" i="38" s="1"/>
  <c r="BH18" i="43"/>
  <c r="BN18" i="43" s="1"/>
  <c r="S20" i="41" s="1"/>
  <c r="BG18" i="43"/>
  <c r="BM18" i="43" s="1"/>
  <c r="R20" i="41" s="1"/>
  <c r="BF18" i="43"/>
  <c r="BI6" i="43"/>
  <c r="L8" i="38" s="1"/>
  <c r="BH6" i="43"/>
  <c r="BN6" i="43" s="1"/>
  <c r="S8" i="41" s="1"/>
  <c r="BG6" i="43"/>
  <c r="BM6" i="43" s="1"/>
  <c r="R8" i="41" s="1"/>
  <c r="BF6" i="43"/>
  <c r="BI15" i="43"/>
  <c r="L17" i="38" s="1"/>
  <c r="BH15" i="43"/>
  <c r="BN15" i="43" s="1"/>
  <c r="S17" i="41" s="1"/>
  <c r="BG15" i="43"/>
  <c r="BM15" i="43" s="1"/>
  <c r="R17" i="41" s="1"/>
  <c r="BF15" i="43"/>
  <c r="BL3" i="43"/>
  <c r="BE3" i="43"/>
  <c r="K5" i="38" s="1"/>
  <c r="BI8" i="43"/>
  <c r="L10" i="38" s="1"/>
  <c r="BH8" i="43"/>
  <c r="BN8" i="43" s="1"/>
  <c r="S10" i="41" s="1"/>
  <c r="BG8" i="43"/>
  <c r="BM8" i="43" s="1"/>
  <c r="R10" i="41" s="1"/>
  <c r="BF8" i="43"/>
  <c r="BI7" i="43"/>
  <c r="L9" i="38" s="1"/>
  <c r="BH7" i="43"/>
  <c r="BN7" i="43" s="1"/>
  <c r="S9" i="41" s="1"/>
  <c r="BG7" i="43"/>
  <c r="BM7" i="43" s="1"/>
  <c r="R9" i="41" s="1"/>
  <c r="BF7" i="43"/>
  <c r="BI10" i="43"/>
  <c r="L12" i="38" s="1"/>
  <c r="BH10" i="43"/>
  <c r="BN10" i="43" s="1"/>
  <c r="S12" i="41" s="1"/>
  <c r="BG10" i="43"/>
  <c r="BM10" i="43" s="1"/>
  <c r="R12" i="41" s="1"/>
  <c r="BF10" i="43"/>
  <c r="BL9" i="43"/>
  <c r="AX2" i="43"/>
  <c r="AY2" i="43"/>
  <c r="BI16" i="43"/>
  <c r="L18" i="38" s="1"/>
  <c r="BG16" i="43"/>
  <c r="BM16" i="43" s="1"/>
  <c r="R18" i="41" s="1"/>
  <c r="BH16" i="43"/>
  <c r="BN16" i="43" s="1"/>
  <c r="S18" i="41" s="1"/>
  <c r="BF16" i="43"/>
  <c r="BM3" i="43"/>
  <c r="R5" i="41" s="1"/>
  <c r="H4" i="34"/>
  <c r="F4" i="35"/>
  <c r="N5" i="46" s="1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5" i="5"/>
  <c r="N11" i="40" l="1"/>
  <c r="BO9" i="43"/>
  <c r="BJ9" i="43" s="1"/>
  <c r="BE9" i="43"/>
  <c r="K11" i="38" s="1"/>
  <c r="N11" i="38" s="1"/>
  <c r="J11" i="46"/>
  <c r="J12" i="46" s="1"/>
  <c r="D12" i="46"/>
  <c r="Q5" i="46"/>
  <c r="W5" i="46" s="1"/>
  <c r="D6" i="47" s="1"/>
  <c r="I6" i="47" s="1"/>
  <c r="N6" i="47" s="1"/>
  <c r="P5" i="46"/>
  <c r="S5" i="46"/>
  <c r="R5" i="46"/>
  <c r="X5" i="46" s="1"/>
  <c r="E6" i="47" s="1"/>
  <c r="J6" i="47" s="1"/>
  <c r="O6" i="47" s="1"/>
  <c r="K10" i="46"/>
  <c r="H10" i="46" s="1"/>
  <c r="E11" i="46"/>
  <c r="C11" i="46" s="1"/>
  <c r="H10" i="34"/>
  <c r="F10" i="35"/>
  <c r="H20" i="34"/>
  <c r="F20" i="35"/>
  <c r="I5" i="34"/>
  <c r="G5" i="35"/>
  <c r="H14" i="34"/>
  <c r="F14" i="35"/>
  <c r="L11" i="46"/>
  <c r="L12" i="46" s="1"/>
  <c r="V5" i="47"/>
  <c r="Z5" i="47" s="1"/>
  <c r="H11" i="34"/>
  <c r="F11" i="35"/>
  <c r="H7" i="34"/>
  <c r="F7" i="35"/>
  <c r="U8" i="40"/>
  <c r="K9" i="40"/>
  <c r="O9" i="40"/>
  <c r="BO5" i="43"/>
  <c r="BJ5" i="43" s="1"/>
  <c r="L7" i="38"/>
  <c r="U7" i="38" s="1"/>
  <c r="X7" i="38" s="1"/>
  <c r="P11" i="40"/>
  <c r="T11" i="40" s="1"/>
  <c r="C4" i="47"/>
  <c r="T3" i="46"/>
  <c r="U3" i="46"/>
  <c r="H9" i="46"/>
  <c r="H16" i="34"/>
  <c r="F16" i="35"/>
  <c r="B10" i="46"/>
  <c r="H19" i="34"/>
  <c r="F19" i="35"/>
  <c r="V4" i="40"/>
  <c r="H15" i="34"/>
  <c r="F15" i="35"/>
  <c r="C5" i="40"/>
  <c r="G5" i="40" s="1"/>
  <c r="W5" i="40" s="1"/>
  <c r="Y4" i="46"/>
  <c r="H8" i="34"/>
  <c r="F8" i="35"/>
  <c r="AD4" i="47"/>
  <c r="U5" i="47"/>
  <c r="F12" i="46"/>
  <c r="H12" i="34"/>
  <c r="F12" i="35"/>
  <c r="P10" i="40"/>
  <c r="M12" i="40"/>
  <c r="M13" i="40" s="1"/>
  <c r="M11" i="46"/>
  <c r="H18" i="34"/>
  <c r="F18" i="35"/>
  <c r="H17" i="34"/>
  <c r="F17" i="35"/>
  <c r="H6" i="34"/>
  <c r="F6" i="35"/>
  <c r="H9" i="34"/>
  <c r="F9" i="35"/>
  <c r="D4" i="40"/>
  <c r="G4" i="40"/>
  <c r="H4" i="40" s="1"/>
  <c r="I9" i="46"/>
  <c r="I10" i="40" s="1"/>
  <c r="O4" i="46"/>
  <c r="B5" i="40" s="1"/>
  <c r="V4" i="46"/>
  <c r="H13" i="34"/>
  <c r="F13" i="35"/>
  <c r="G12" i="46"/>
  <c r="BE5" i="43"/>
  <c r="BJ13" i="43"/>
  <c r="BE13" i="43"/>
  <c r="BE17" i="43"/>
  <c r="BL17" i="43"/>
  <c r="Q19" i="41" s="1"/>
  <c r="BF2" i="43"/>
  <c r="P2" i="46" s="1"/>
  <c r="BO11" i="43"/>
  <c r="BO4" i="43"/>
  <c r="U15" i="38"/>
  <c r="X15" i="38" s="1"/>
  <c r="O15" i="38"/>
  <c r="BO16" i="43"/>
  <c r="BO7" i="43"/>
  <c r="BO6" i="43"/>
  <c r="BO14" i="43"/>
  <c r="U11" i="38"/>
  <c r="X11" i="38" s="1"/>
  <c r="O11" i="38"/>
  <c r="BO12" i="43"/>
  <c r="BO10" i="43"/>
  <c r="AG5" i="38"/>
  <c r="AF5" i="38"/>
  <c r="AE5" i="38"/>
  <c r="AD5" i="38"/>
  <c r="BO8" i="43"/>
  <c r="BO15" i="43"/>
  <c r="BO18" i="43"/>
  <c r="M5" i="38"/>
  <c r="T5" i="38"/>
  <c r="N5" i="38"/>
  <c r="P5" i="38" s="1"/>
  <c r="U19" i="38"/>
  <c r="X19" i="38" s="1"/>
  <c r="O19" i="38"/>
  <c r="Q5" i="41"/>
  <c r="BK3" i="43"/>
  <c r="BL8" i="43"/>
  <c r="BE8" i="43"/>
  <c r="K10" i="38" s="1"/>
  <c r="BL15" i="43"/>
  <c r="BE15" i="43"/>
  <c r="K17" i="38" s="1"/>
  <c r="BL12" i="43"/>
  <c r="BE12" i="43"/>
  <c r="K14" i="38" s="1"/>
  <c r="BH2" i="43"/>
  <c r="BL10" i="43"/>
  <c r="BE10" i="43"/>
  <c r="K12" i="38" s="1"/>
  <c r="BL14" i="43"/>
  <c r="BE14" i="43"/>
  <c r="K16" i="38" s="1"/>
  <c r="BL6" i="43"/>
  <c r="BE6" i="43"/>
  <c r="K8" i="38" s="1"/>
  <c r="N8" i="38" s="1"/>
  <c r="BG2" i="43"/>
  <c r="BL18" i="43"/>
  <c r="BE18" i="43"/>
  <c r="K20" i="38" s="1"/>
  <c r="BL16" i="43"/>
  <c r="BE16" i="43"/>
  <c r="K18" i="38" s="1"/>
  <c r="Q7" i="41"/>
  <c r="BK5" i="43"/>
  <c r="BJ3" i="43"/>
  <c r="Q11" i="41"/>
  <c r="BK9" i="43"/>
  <c r="BL7" i="43"/>
  <c r="BE7" i="43"/>
  <c r="K9" i="38" s="1"/>
  <c r="BL11" i="43"/>
  <c r="BE11" i="43"/>
  <c r="K13" i="38" s="1"/>
  <c r="BL4" i="43"/>
  <c r="BE4" i="43"/>
  <c r="K6" i="38" s="1"/>
  <c r="Q15" i="41"/>
  <c r="BK13" i="43"/>
  <c r="BI2" i="43"/>
  <c r="L4" i="38" s="1"/>
  <c r="I4" i="34"/>
  <c r="G4" i="35"/>
  <c r="N6" i="46" s="1"/>
  <c r="M11" i="38" l="1"/>
  <c r="T11" i="38"/>
  <c r="V11" i="38" s="1"/>
  <c r="E12" i="46"/>
  <c r="B11" i="46"/>
  <c r="B12" i="46" s="1"/>
  <c r="O7" i="38"/>
  <c r="K19" i="38"/>
  <c r="T19" i="38" s="1"/>
  <c r="S6" i="46"/>
  <c r="P6" i="46"/>
  <c r="R6" i="46"/>
  <c r="X6" i="46" s="1"/>
  <c r="E7" i="47" s="1"/>
  <c r="J7" i="47" s="1"/>
  <c r="O7" i="47" s="1"/>
  <c r="V7" i="47" s="1"/>
  <c r="Q6" i="46"/>
  <c r="W6" i="46" s="1"/>
  <c r="D7" i="47" s="1"/>
  <c r="I7" i="47" s="1"/>
  <c r="N7" i="47" s="1"/>
  <c r="I8" i="34"/>
  <c r="G8" i="35"/>
  <c r="I13" i="34"/>
  <c r="G13" i="35"/>
  <c r="I7" i="34"/>
  <c r="G7" i="35"/>
  <c r="U6" i="47"/>
  <c r="Y6" i="47" s="1"/>
  <c r="I10" i="34"/>
  <c r="G10" i="35"/>
  <c r="T10" i="40"/>
  <c r="H4" i="47"/>
  <c r="B4" i="47"/>
  <c r="K10" i="40"/>
  <c r="O10" i="40"/>
  <c r="I17" i="34"/>
  <c r="G17" i="35"/>
  <c r="I11" i="34"/>
  <c r="G11" i="35"/>
  <c r="I14" i="34"/>
  <c r="G14" i="35"/>
  <c r="K11" i="46"/>
  <c r="K12" i="46" s="1"/>
  <c r="K7" i="38"/>
  <c r="T7" i="38" s="1"/>
  <c r="V7" i="38" s="1"/>
  <c r="W4" i="40"/>
  <c r="X4" i="40" s="1"/>
  <c r="I12" i="34"/>
  <c r="G12" i="35"/>
  <c r="K15" i="38"/>
  <c r="I18" i="34"/>
  <c r="G18" i="35"/>
  <c r="I16" i="34"/>
  <c r="G16" i="35"/>
  <c r="AD5" i="47"/>
  <c r="J5" i="34"/>
  <c r="H5" i="35"/>
  <c r="V6" i="47"/>
  <c r="Z6" i="47" s="1"/>
  <c r="I10" i="46"/>
  <c r="I11" i="40" s="1"/>
  <c r="C12" i="46"/>
  <c r="L12" i="40"/>
  <c r="I15" i="34"/>
  <c r="G15" i="35"/>
  <c r="C6" i="40"/>
  <c r="G6" i="40" s="1"/>
  <c r="W6" i="40" s="1"/>
  <c r="Y5" i="46"/>
  <c r="C5" i="47"/>
  <c r="U4" i="46"/>
  <c r="T4" i="46"/>
  <c r="I6" i="34"/>
  <c r="G6" i="35"/>
  <c r="F5" i="40"/>
  <c r="D5" i="40"/>
  <c r="I19" i="34"/>
  <c r="G19" i="35"/>
  <c r="I9" i="34"/>
  <c r="G9" i="35"/>
  <c r="M12" i="46"/>
  <c r="J12" i="40"/>
  <c r="Y5" i="47"/>
  <c r="S9" i="40"/>
  <c r="Q9" i="40"/>
  <c r="I20" i="34"/>
  <c r="G20" i="35"/>
  <c r="O5" i="46"/>
  <c r="B6" i="40" s="1"/>
  <c r="V5" i="46"/>
  <c r="V2" i="46"/>
  <c r="C3" i="47" s="1"/>
  <c r="BK17" i="43"/>
  <c r="BJ17" i="43"/>
  <c r="BL2" i="43"/>
  <c r="Q4" i="41" s="1"/>
  <c r="BJ15" i="43"/>
  <c r="BJ14" i="43"/>
  <c r="BJ16" i="43"/>
  <c r="BJ11" i="43"/>
  <c r="BJ7" i="43"/>
  <c r="U4" i="38"/>
  <c r="X4" i="38" s="1"/>
  <c r="S2" i="46"/>
  <c r="C3" i="40" s="1"/>
  <c r="BJ8" i="43"/>
  <c r="BJ18" i="43"/>
  <c r="BM2" i="43"/>
  <c r="R4" i="41" s="1"/>
  <c r="Q2" i="46"/>
  <c r="BN2" i="43"/>
  <c r="S4" i="41" s="1"/>
  <c r="R2" i="46"/>
  <c r="M12" i="38"/>
  <c r="T12" i="38"/>
  <c r="N12" i="38"/>
  <c r="AE19" i="38"/>
  <c r="AD19" i="38"/>
  <c r="AF19" i="38"/>
  <c r="AG19" i="38"/>
  <c r="U18" i="38"/>
  <c r="X18" i="38" s="1"/>
  <c r="O18" i="38"/>
  <c r="U6" i="38"/>
  <c r="X6" i="38" s="1"/>
  <c r="O6" i="38"/>
  <c r="U12" i="38"/>
  <c r="X12" i="38" s="1"/>
  <c r="O12" i="38"/>
  <c r="M8" i="38"/>
  <c r="T8" i="38"/>
  <c r="U16" i="38"/>
  <c r="X16" i="38" s="1"/>
  <c r="O16" i="38"/>
  <c r="U13" i="38"/>
  <c r="X13" i="38" s="1"/>
  <c r="O13" i="38"/>
  <c r="M18" i="38"/>
  <c r="T18" i="38"/>
  <c r="N18" i="38"/>
  <c r="M14" i="38"/>
  <c r="T14" i="38"/>
  <c r="N14" i="38"/>
  <c r="U20" i="38"/>
  <c r="X20" i="38" s="1"/>
  <c r="O20" i="38"/>
  <c r="M9" i="38"/>
  <c r="T9" i="38"/>
  <c r="N9" i="38"/>
  <c r="V5" i="38"/>
  <c r="W5" i="38"/>
  <c r="AD7" i="38"/>
  <c r="AG7" i="38"/>
  <c r="AF7" i="38"/>
  <c r="AE7" i="38"/>
  <c r="P11" i="38"/>
  <c r="U8" i="38"/>
  <c r="X8" i="38" s="1"/>
  <c r="O8" i="38"/>
  <c r="M17" i="38"/>
  <c r="T17" i="38"/>
  <c r="N17" i="38"/>
  <c r="U17" i="38"/>
  <c r="X17" i="38" s="1"/>
  <c r="O17" i="38"/>
  <c r="AE11" i="38"/>
  <c r="AD11" i="38"/>
  <c r="AF11" i="38"/>
  <c r="AG11" i="38"/>
  <c r="M13" i="38"/>
  <c r="T13" i="38"/>
  <c r="N13" i="38"/>
  <c r="M16" i="38"/>
  <c r="T16" i="38"/>
  <c r="N16" i="38"/>
  <c r="U14" i="38"/>
  <c r="X14" i="38" s="1"/>
  <c r="O14" i="38"/>
  <c r="U9" i="38"/>
  <c r="X9" i="38" s="1"/>
  <c r="O9" i="38"/>
  <c r="M6" i="38"/>
  <c r="T6" i="38"/>
  <c r="N6" i="38"/>
  <c r="M20" i="38"/>
  <c r="T20" i="38"/>
  <c r="N20" i="38"/>
  <c r="M10" i="38"/>
  <c r="T10" i="38"/>
  <c r="N10" i="38"/>
  <c r="U10" i="38"/>
  <c r="X10" i="38" s="1"/>
  <c r="O10" i="38"/>
  <c r="AG15" i="38"/>
  <c r="AF15" i="38"/>
  <c r="AE15" i="38"/>
  <c r="AD15" i="38"/>
  <c r="P15" i="41"/>
  <c r="Q6" i="41"/>
  <c r="BK4" i="43"/>
  <c r="Q8" i="41"/>
  <c r="BK6" i="43"/>
  <c r="P5" i="41"/>
  <c r="Q14" i="41"/>
  <c r="BK12" i="43"/>
  <c r="Q12" i="41"/>
  <c r="BK10" i="43"/>
  <c r="Q13" i="41"/>
  <c r="BK11" i="43"/>
  <c r="Q20" i="41"/>
  <c r="BK18" i="43"/>
  <c r="BJ10" i="43"/>
  <c r="P11" i="41"/>
  <c r="Q10" i="41"/>
  <c r="BK8" i="43"/>
  <c r="Q18" i="41"/>
  <c r="BK16" i="43"/>
  <c r="BJ6" i="43"/>
  <c r="BE2" i="43"/>
  <c r="K4" i="38" s="1"/>
  <c r="P19" i="41"/>
  <c r="BD2" i="43"/>
  <c r="BO2" i="43"/>
  <c r="BJ12" i="43"/>
  <c r="BJ4" i="43"/>
  <c r="Q16" i="41"/>
  <c r="BK14" i="43"/>
  <c r="P7" i="41"/>
  <c r="Q9" i="41"/>
  <c r="BK7" i="43"/>
  <c r="Q17" i="41"/>
  <c r="BK15" i="43"/>
  <c r="J4" i="34"/>
  <c r="H4" i="35"/>
  <c r="N7" i="46" s="1"/>
  <c r="W11" i="38" l="1"/>
  <c r="AB11" i="38" s="1"/>
  <c r="N19" i="38"/>
  <c r="P19" i="38" s="1"/>
  <c r="N7" i="38"/>
  <c r="P7" i="38" s="1"/>
  <c r="M19" i="38"/>
  <c r="V19" i="38"/>
  <c r="W19" i="38"/>
  <c r="AB19" i="38" s="1"/>
  <c r="J16" i="34"/>
  <c r="H16" i="35"/>
  <c r="C6" i="47"/>
  <c r="U5" i="46"/>
  <c r="T5" i="46"/>
  <c r="K11" i="40"/>
  <c r="O11" i="40"/>
  <c r="AC6" i="47"/>
  <c r="U7" i="47"/>
  <c r="Y7" i="47" s="1"/>
  <c r="AC7" i="47" s="1"/>
  <c r="H3" i="47"/>
  <c r="H5" i="47"/>
  <c r="B5" i="47"/>
  <c r="N12" i="40"/>
  <c r="N13" i="40" s="1"/>
  <c r="L13" i="40"/>
  <c r="J10" i="34"/>
  <c r="H10" i="35"/>
  <c r="J19" i="34"/>
  <c r="H19" i="35"/>
  <c r="J8" i="34"/>
  <c r="H8" i="35"/>
  <c r="F6" i="40"/>
  <c r="D6" i="40"/>
  <c r="H5" i="40"/>
  <c r="V5" i="40"/>
  <c r="X5" i="40" s="1"/>
  <c r="J18" i="34"/>
  <c r="H18" i="35"/>
  <c r="J14" i="34"/>
  <c r="H14" i="35"/>
  <c r="Z7" i="47"/>
  <c r="AD7" i="47" s="1"/>
  <c r="J17" i="34"/>
  <c r="H17" i="35"/>
  <c r="U9" i="40"/>
  <c r="S10" i="40"/>
  <c r="Q10" i="40"/>
  <c r="P12" i="40"/>
  <c r="J13" i="40"/>
  <c r="AD6" i="47"/>
  <c r="M15" i="38"/>
  <c r="T15" i="38"/>
  <c r="M4" i="47"/>
  <c r="G4" i="47"/>
  <c r="J7" i="34"/>
  <c r="H7" i="35"/>
  <c r="O6" i="46"/>
  <c r="B7" i="40" s="1"/>
  <c r="V6" i="46"/>
  <c r="G3" i="40"/>
  <c r="J20" i="34"/>
  <c r="H20" i="35"/>
  <c r="J6" i="34"/>
  <c r="H6" i="35"/>
  <c r="J15" i="34"/>
  <c r="H15" i="35"/>
  <c r="N15" i="38"/>
  <c r="P15" i="38" s="1"/>
  <c r="M7" i="38"/>
  <c r="J11" i="34"/>
  <c r="H11" i="35"/>
  <c r="C7" i="40"/>
  <c r="G7" i="40" s="1"/>
  <c r="W7" i="40" s="1"/>
  <c r="Y6" i="46"/>
  <c r="J12" i="34"/>
  <c r="H12" i="35"/>
  <c r="AC5" i="47"/>
  <c r="K5" i="34"/>
  <c r="I5" i="35"/>
  <c r="H11" i="46"/>
  <c r="H12" i="46" s="1"/>
  <c r="S7" i="46"/>
  <c r="P7" i="46"/>
  <c r="R7" i="46"/>
  <c r="X7" i="46" s="1"/>
  <c r="E8" i="47" s="1"/>
  <c r="J8" i="47" s="1"/>
  <c r="O8" i="47" s="1"/>
  <c r="Q7" i="46"/>
  <c r="W7" i="46" s="1"/>
  <c r="D8" i="47" s="1"/>
  <c r="I8" i="47" s="1"/>
  <c r="N8" i="47" s="1"/>
  <c r="J9" i="34"/>
  <c r="H9" i="35"/>
  <c r="I11" i="46"/>
  <c r="J13" i="34"/>
  <c r="H13" i="35"/>
  <c r="P18" i="38"/>
  <c r="X2" i="46"/>
  <c r="W2" i="46"/>
  <c r="Y2" i="46"/>
  <c r="W7" i="38"/>
  <c r="AA7" i="38" s="1"/>
  <c r="O4" i="38"/>
  <c r="BK2" i="43"/>
  <c r="P4" i="41"/>
  <c r="P6" i="38"/>
  <c r="P17" i="38"/>
  <c r="BJ2" i="43"/>
  <c r="P16" i="38"/>
  <c r="P8" i="38"/>
  <c r="P20" i="38"/>
  <c r="O2" i="46"/>
  <c r="N2" i="46"/>
  <c r="V13" i="38"/>
  <c r="W13" i="38"/>
  <c r="P14" i="38"/>
  <c r="AG13" i="38"/>
  <c r="AF13" i="38"/>
  <c r="AE13" i="38"/>
  <c r="AD13" i="38"/>
  <c r="AD18" i="38"/>
  <c r="AG18" i="38"/>
  <c r="AE18" i="38"/>
  <c r="AF18" i="38"/>
  <c r="V20" i="38"/>
  <c r="W20" i="38"/>
  <c r="AD14" i="38"/>
  <c r="AG14" i="38"/>
  <c r="AF14" i="38"/>
  <c r="AE14" i="38"/>
  <c r="AG17" i="38"/>
  <c r="AF17" i="38"/>
  <c r="AD17" i="38"/>
  <c r="AE17" i="38"/>
  <c r="AG4" i="38"/>
  <c r="AF4" i="38"/>
  <c r="AE4" i="38"/>
  <c r="AD4" i="38"/>
  <c r="V14" i="38"/>
  <c r="W14" i="38"/>
  <c r="AD10" i="38"/>
  <c r="AG10" i="38"/>
  <c r="AE10" i="38"/>
  <c r="AF10" i="38"/>
  <c r="AF16" i="38"/>
  <c r="AE16" i="38"/>
  <c r="AG16" i="38"/>
  <c r="AD16" i="38"/>
  <c r="AD12" i="38"/>
  <c r="AF12" i="38"/>
  <c r="AE12" i="38"/>
  <c r="AG12" i="38"/>
  <c r="M4" i="38"/>
  <c r="T4" i="38"/>
  <c r="N4" i="38"/>
  <c r="P4" i="38" s="1"/>
  <c r="V16" i="38"/>
  <c r="W16" i="38"/>
  <c r="V9" i="38"/>
  <c r="W9" i="38"/>
  <c r="V6" i="38"/>
  <c r="W6" i="38"/>
  <c r="V17" i="38"/>
  <c r="W17" i="38"/>
  <c r="V18" i="38"/>
  <c r="W18" i="38"/>
  <c r="P10" i="38"/>
  <c r="AA5" i="38"/>
  <c r="AB5" i="38"/>
  <c r="Z5" i="38"/>
  <c r="AC5" i="38"/>
  <c r="Y5" i="38"/>
  <c r="V8" i="38"/>
  <c r="W8" i="38"/>
  <c r="P12" i="38"/>
  <c r="V10" i="38"/>
  <c r="W10" i="38"/>
  <c r="P9" i="38"/>
  <c r="AG6" i="38"/>
  <c r="AF6" i="38"/>
  <c r="AE6" i="38"/>
  <c r="AD6" i="38"/>
  <c r="V12" i="38"/>
  <c r="W12" i="38"/>
  <c r="AG9" i="38"/>
  <c r="AF9" i="38"/>
  <c r="AD9" i="38"/>
  <c r="AE9" i="38"/>
  <c r="AF8" i="38"/>
  <c r="AE8" i="38"/>
  <c r="AG8" i="38"/>
  <c r="AD8" i="38"/>
  <c r="AG20" i="38"/>
  <c r="AD20" i="38"/>
  <c r="AF20" i="38"/>
  <c r="AE20" i="38"/>
  <c r="P13" i="38"/>
  <c r="P9" i="41"/>
  <c r="P10" i="41"/>
  <c r="P20" i="41"/>
  <c r="P13" i="41"/>
  <c r="P8" i="41"/>
  <c r="P16" i="41"/>
  <c r="P12" i="41"/>
  <c r="P6" i="41"/>
  <c r="P17" i="41"/>
  <c r="P18" i="41"/>
  <c r="P14" i="41"/>
  <c r="K4" i="34"/>
  <c r="I4" i="35"/>
  <c r="N8" i="46" s="1"/>
  <c r="AA11" i="38" l="1"/>
  <c r="Z11" i="38"/>
  <c r="Y11" i="38"/>
  <c r="AC11" i="38"/>
  <c r="Y19" i="38"/>
  <c r="AC19" i="38"/>
  <c r="AA19" i="38"/>
  <c r="Z19" i="38"/>
  <c r="U2" i="46"/>
  <c r="W3" i="40"/>
  <c r="K19" i="34"/>
  <c r="I19" i="35"/>
  <c r="E3" i="47"/>
  <c r="K11" i="34"/>
  <c r="I11" i="35"/>
  <c r="K20" i="34"/>
  <c r="I20" i="35"/>
  <c r="T4" i="47"/>
  <c r="X4" i="47" s="1"/>
  <c r="W4" i="47" s="1"/>
  <c r="L4" i="47"/>
  <c r="K8" i="34"/>
  <c r="I8" i="35"/>
  <c r="M5" i="47"/>
  <c r="G5" i="47"/>
  <c r="W15" i="38"/>
  <c r="V15" i="38"/>
  <c r="T2" i="46"/>
  <c r="O7" i="46"/>
  <c r="B8" i="40" s="1"/>
  <c r="V7" i="46"/>
  <c r="C7" i="47"/>
  <c r="U6" i="46"/>
  <c r="T6" i="46"/>
  <c r="K17" i="34"/>
  <c r="I17" i="35"/>
  <c r="M3" i="47"/>
  <c r="B6" i="47"/>
  <c r="H6" i="47"/>
  <c r="K18" i="34"/>
  <c r="I18" i="35"/>
  <c r="K13" i="34"/>
  <c r="I13" i="35"/>
  <c r="C8" i="40"/>
  <c r="Y7" i="46"/>
  <c r="K12" i="34"/>
  <c r="I12" i="35"/>
  <c r="K15" i="34"/>
  <c r="I15" i="35"/>
  <c r="D7" i="40"/>
  <c r="F7" i="40"/>
  <c r="K10" i="34"/>
  <c r="I10" i="35"/>
  <c r="P8" i="46"/>
  <c r="V8" i="46" s="1"/>
  <c r="R8" i="46"/>
  <c r="S8" i="46"/>
  <c r="Q8" i="46"/>
  <c r="I12" i="46"/>
  <c r="I12" i="40"/>
  <c r="T12" i="40"/>
  <c r="P13" i="40"/>
  <c r="K16" i="34"/>
  <c r="I16" i="35"/>
  <c r="U8" i="47"/>
  <c r="Y8" i="47" s="1"/>
  <c r="V8" i="47"/>
  <c r="B3" i="40"/>
  <c r="D3" i="47"/>
  <c r="K6" i="34"/>
  <c r="I6" i="35"/>
  <c r="K7" i="34"/>
  <c r="I7" i="35"/>
  <c r="H6" i="40"/>
  <c r="V6" i="40"/>
  <c r="X6" i="40" s="1"/>
  <c r="L5" i="34"/>
  <c r="J5" i="35"/>
  <c r="K9" i="34"/>
  <c r="I9" i="35"/>
  <c r="U10" i="40"/>
  <c r="K14" i="34"/>
  <c r="I14" i="35"/>
  <c r="S11" i="40"/>
  <c r="Q11" i="40"/>
  <c r="Z7" i="38"/>
  <c r="AB7" i="38"/>
  <c r="AC7" i="38"/>
  <c r="Y7" i="38"/>
  <c r="AA16" i="38"/>
  <c r="Z16" i="38"/>
  <c r="AC16" i="38"/>
  <c r="Y16" i="38"/>
  <c r="AB16" i="38"/>
  <c r="V4" i="38"/>
  <c r="W4" i="38"/>
  <c r="AA14" i="38"/>
  <c r="AC14" i="38"/>
  <c r="AB14" i="38"/>
  <c r="Z14" i="38"/>
  <c r="Y14" i="38"/>
  <c r="AA10" i="38"/>
  <c r="AC10" i="38"/>
  <c r="AB10" i="38"/>
  <c r="Z10" i="38"/>
  <c r="Y10" i="38"/>
  <c r="AA17" i="38"/>
  <c r="AC17" i="38"/>
  <c r="AB17" i="38"/>
  <c r="Z17" i="38"/>
  <c r="Y17" i="38"/>
  <c r="AA6" i="38"/>
  <c r="Z6" i="38"/>
  <c r="Y6" i="38"/>
  <c r="AC6" i="38"/>
  <c r="AB6" i="38"/>
  <c r="AA13" i="38"/>
  <c r="Y13" i="38"/>
  <c r="AC13" i="38"/>
  <c r="AB13" i="38"/>
  <c r="Z13" i="38"/>
  <c r="AA12" i="38"/>
  <c r="Y12" i="38"/>
  <c r="AC12" i="38"/>
  <c r="AB12" i="38"/>
  <c r="Z12" i="38"/>
  <c r="AA8" i="38"/>
  <c r="Z8" i="38"/>
  <c r="Y8" i="38"/>
  <c r="AC8" i="38"/>
  <c r="AB8" i="38"/>
  <c r="AA9" i="38"/>
  <c r="Y9" i="38"/>
  <c r="AB9" i="38"/>
  <c r="Z9" i="38"/>
  <c r="AC9" i="38"/>
  <c r="AA20" i="38"/>
  <c r="AB20" i="38"/>
  <c r="Z20" i="38"/>
  <c r="AC20" i="38"/>
  <c r="Y20" i="38"/>
  <c r="AA18" i="38"/>
  <c r="AC18" i="38"/>
  <c r="AB18" i="38"/>
  <c r="Z18" i="38"/>
  <c r="Y18" i="38"/>
  <c r="L4" i="34"/>
  <c r="J4" i="35"/>
  <c r="N9" i="46" s="1"/>
  <c r="T3" i="47" l="1"/>
  <c r="X3" i="47" s="1"/>
  <c r="L6" i="34"/>
  <c r="J6" i="35"/>
  <c r="AC8" i="47"/>
  <c r="O8" i="46"/>
  <c r="B9" i="40" s="1"/>
  <c r="W8" i="46"/>
  <c r="L13" i="34"/>
  <c r="J13" i="35"/>
  <c r="L7" i="34"/>
  <c r="J7" i="35"/>
  <c r="G8" i="40"/>
  <c r="L11" i="34"/>
  <c r="J11" i="35"/>
  <c r="J3" i="47"/>
  <c r="Q9" i="46"/>
  <c r="R9" i="46"/>
  <c r="X9" i="46" s="1"/>
  <c r="E10" i="47" s="1"/>
  <c r="J10" i="47" s="1"/>
  <c r="O10" i="47" s="1"/>
  <c r="P9" i="46"/>
  <c r="S9" i="46"/>
  <c r="U11" i="40"/>
  <c r="I3" i="47"/>
  <c r="B3" i="47"/>
  <c r="C9" i="40"/>
  <c r="G9" i="40" s="1"/>
  <c r="W9" i="40" s="1"/>
  <c r="Y8" i="46"/>
  <c r="L17" i="34"/>
  <c r="J17" i="35"/>
  <c r="M5" i="34"/>
  <c r="K5" i="35"/>
  <c r="L16" i="34"/>
  <c r="J16" i="35"/>
  <c r="X8" i="46"/>
  <c r="L15" i="34"/>
  <c r="J15" i="35"/>
  <c r="L18" i="34"/>
  <c r="J18" i="35"/>
  <c r="Y15" i="38"/>
  <c r="AA15" i="38"/>
  <c r="AC15" i="38"/>
  <c r="Z15" i="38"/>
  <c r="AB15" i="38"/>
  <c r="AB4" i="47"/>
  <c r="AA4" i="47" s="1"/>
  <c r="S4" i="47"/>
  <c r="L19" i="34"/>
  <c r="J19" i="35"/>
  <c r="C8" i="47"/>
  <c r="U7" i="46"/>
  <c r="T7" i="46"/>
  <c r="L9" i="34"/>
  <c r="J9" i="35"/>
  <c r="D8" i="40"/>
  <c r="F8" i="40"/>
  <c r="L14" i="34"/>
  <c r="J14" i="35"/>
  <c r="F3" i="40"/>
  <c r="D3" i="40"/>
  <c r="C9" i="47"/>
  <c r="M6" i="47"/>
  <c r="G6" i="47"/>
  <c r="L8" i="34"/>
  <c r="J8" i="35"/>
  <c r="T13" i="40"/>
  <c r="L12" i="34"/>
  <c r="J12" i="35"/>
  <c r="H7" i="47"/>
  <c r="B7" i="47"/>
  <c r="L20" i="34"/>
  <c r="J20" i="35"/>
  <c r="H7" i="40"/>
  <c r="V7" i="40"/>
  <c r="X7" i="40" s="1"/>
  <c r="Z8" i="47"/>
  <c r="AD8" i="47" s="1"/>
  <c r="K12" i="40"/>
  <c r="K13" i="40" s="1"/>
  <c r="O12" i="40"/>
  <c r="I13" i="40"/>
  <c r="L10" i="34"/>
  <c r="J10" i="35"/>
  <c r="T5" i="47"/>
  <c r="X5" i="47" s="1"/>
  <c r="W5" i="47" s="1"/>
  <c r="L5" i="47"/>
  <c r="AA4" i="38"/>
  <c r="AC4" i="38"/>
  <c r="Z4" i="38"/>
  <c r="Y4" i="38"/>
  <c r="AB4" i="38"/>
  <c r="M4" i="34"/>
  <c r="K4" i="35"/>
  <c r="N10" i="46" s="1"/>
  <c r="T3" i="18"/>
  <c r="T4" i="18"/>
  <c r="T5" i="18"/>
  <c r="T6" i="18"/>
  <c r="T7" i="18"/>
  <c r="T8" i="18"/>
  <c r="T9" i="18"/>
  <c r="T10" i="18"/>
  <c r="T11" i="18"/>
  <c r="T12" i="18"/>
  <c r="T13" i="18"/>
  <c r="T14" i="18"/>
  <c r="T15" i="18"/>
  <c r="T16" i="18"/>
  <c r="T17" i="18"/>
  <c r="T18" i="18"/>
  <c r="P3" i="18"/>
  <c r="P4" i="18"/>
  <c r="P5" i="18"/>
  <c r="P6" i="18"/>
  <c r="P7" i="18"/>
  <c r="P8" i="18"/>
  <c r="P9" i="18"/>
  <c r="P10" i="18"/>
  <c r="P11" i="18"/>
  <c r="P12" i="18"/>
  <c r="P13" i="18"/>
  <c r="P14" i="18"/>
  <c r="P15" i="18"/>
  <c r="P16" i="18"/>
  <c r="P17" i="18"/>
  <c r="P18" i="18"/>
  <c r="L3" i="18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H3" i="18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U8" i="46" l="1"/>
  <c r="T8" i="46"/>
  <c r="S12" i="40"/>
  <c r="Q12" i="40"/>
  <c r="O13" i="40"/>
  <c r="Q13" i="40" s="1"/>
  <c r="H9" i="47"/>
  <c r="M18" i="34"/>
  <c r="K18" i="35"/>
  <c r="N5" i="34"/>
  <c r="M5" i="35" s="1"/>
  <c r="L5" i="35"/>
  <c r="N3" i="47"/>
  <c r="G3" i="47"/>
  <c r="O3" i="47"/>
  <c r="M12" i="34"/>
  <c r="K12" i="35"/>
  <c r="H8" i="40"/>
  <c r="V8" i="40"/>
  <c r="M6" i="34"/>
  <c r="K6" i="35"/>
  <c r="M20" i="34"/>
  <c r="K20" i="35"/>
  <c r="M9" i="34"/>
  <c r="K9" i="35"/>
  <c r="M13" i="34"/>
  <c r="K13" i="35"/>
  <c r="AB5" i="47"/>
  <c r="AA5" i="47" s="1"/>
  <c r="S5" i="47"/>
  <c r="M15" i="34"/>
  <c r="K15" i="35"/>
  <c r="M17" i="34"/>
  <c r="K17" i="35"/>
  <c r="M11" i="34"/>
  <c r="K11" i="35"/>
  <c r="D9" i="47"/>
  <c r="W9" i="46"/>
  <c r="D10" i="47" s="1"/>
  <c r="I10" i="47" s="1"/>
  <c r="N10" i="47" s="1"/>
  <c r="R10" i="46"/>
  <c r="S10" i="46"/>
  <c r="Q10" i="46"/>
  <c r="W10" i="46" s="1"/>
  <c r="D11" i="47" s="1"/>
  <c r="I11" i="47" s="1"/>
  <c r="N11" i="47" s="1"/>
  <c r="P10" i="46"/>
  <c r="M19" i="34"/>
  <c r="K19" i="35"/>
  <c r="M8" i="34"/>
  <c r="K8" i="35"/>
  <c r="H3" i="40"/>
  <c r="V3" i="40"/>
  <c r="C10" i="40"/>
  <c r="G10" i="40" s="1"/>
  <c r="W10" i="40" s="1"/>
  <c r="Y9" i="46"/>
  <c r="F9" i="40"/>
  <c r="D9" i="40"/>
  <c r="AB3" i="47"/>
  <c r="M16" i="34"/>
  <c r="K16" i="35"/>
  <c r="G7" i="47"/>
  <c r="M7" i="47"/>
  <c r="E9" i="47"/>
  <c r="O9" i="46"/>
  <c r="V9" i="46"/>
  <c r="W8" i="40"/>
  <c r="M10" i="34"/>
  <c r="K10" i="35"/>
  <c r="M7" i="34"/>
  <c r="K7" i="35"/>
  <c r="T6" i="47"/>
  <c r="L6" i="47"/>
  <c r="M14" i="34"/>
  <c r="K14" i="35"/>
  <c r="H8" i="47"/>
  <c r="B8" i="47"/>
  <c r="V10" i="47"/>
  <c r="Z10" i="47" s="1"/>
  <c r="N4" i="34"/>
  <c r="M4" i="35" s="1"/>
  <c r="L4" i="35"/>
  <c r="N11" i="46" s="1"/>
  <c r="X8" i="40" l="1"/>
  <c r="B9" i="47"/>
  <c r="U11" i="47"/>
  <c r="Y11" i="47" s="1"/>
  <c r="J9" i="47"/>
  <c r="X10" i="46"/>
  <c r="N11" i="34"/>
  <c r="M11" i="35" s="1"/>
  <c r="L11" i="35"/>
  <c r="N13" i="34"/>
  <c r="M13" i="35" s="1"/>
  <c r="L13" i="35"/>
  <c r="U12" i="40"/>
  <c r="U13" i="40" s="1"/>
  <c r="S13" i="40"/>
  <c r="U3" i="47"/>
  <c r="L3" i="47"/>
  <c r="M8" i="47"/>
  <c r="G8" i="47"/>
  <c r="N10" i="34"/>
  <c r="M10" i="35" s="1"/>
  <c r="L10" i="35"/>
  <c r="T7" i="47"/>
  <c r="X7" i="47" s="1"/>
  <c r="W7" i="47" s="1"/>
  <c r="L7" i="47"/>
  <c r="H9" i="40"/>
  <c r="V9" i="40"/>
  <c r="X9" i="40" s="1"/>
  <c r="N8" i="34"/>
  <c r="M8" i="35" s="1"/>
  <c r="L8" i="35"/>
  <c r="AD10" i="47"/>
  <c r="C11" i="40"/>
  <c r="Y10" i="46"/>
  <c r="U10" i="47"/>
  <c r="Y10" i="47" s="1"/>
  <c r="N17" i="34"/>
  <c r="M17" i="35" s="1"/>
  <c r="L17" i="35"/>
  <c r="N9" i="34"/>
  <c r="M9" i="35" s="1"/>
  <c r="L9" i="35"/>
  <c r="N12" i="34"/>
  <c r="M12" i="35" s="1"/>
  <c r="L12" i="35"/>
  <c r="N14" i="34"/>
  <c r="M14" i="35" s="1"/>
  <c r="L14" i="35"/>
  <c r="N19" i="34"/>
  <c r="M19" i="35" s="1"/>
  <c r="L19" i="35"/>
  <c r="N18" i="34"/>
  <c r="M18" i="35" s="1"/>
  <c r="L18" i="35"/>
  <c r="N6" i="34"/>
  <c r="M6" i="35" s="1"/>
  <c r="L6" i="35"/>
  <c r="R11" i="46"/>
  <c r="X11" i="46" s="1"/>
  <c r="E12" i="47" s="1"/>
  <c r="J12" i="47" s="1"/>
  <c r="O12" i="47" s="1"/>
  <c r="S11" i="46"/>
  <c r="S12" i="46" s="1"/>
  <c r="Q11" i="46"/>
  <c r="W11" i="46" s="1"/>
  <c r="D12" i="47" s="1"/>
  <c r="I12" i="47" s="1"/>
  <c r="N12" i="47" s="1"/>
  <c r="P11" i="46"/>
  <c r="P12" i="46" s="1"/>
  <c r="N16" i="34"/>
  <c r="M16" i="35" s="1"/>
  <c r="L16" i="35"/>
  <c r="N12" i="46"/>
  <c r="N15" i="34"/>
  <c r="M15" i="35" s="1"/>
  <c r="L15" i="35"/>
  <c r="N20" i="34"/>
  <c r="M20" i="35" s="1"/>
  <c r="L20" i="35"/>
  <c r="V3" i="47"/>
  <c r="Z3" i="47" s="1"/>
  <c r="B10" i="40"/>
  <c r="I9" i="47"/>
  <c r="N7" i="34"/>
  <c r="M7" i="35" s="1"/>
  <c r="L7" i="35"/>
  <c r="X6" i="47"/>
  <c r="AB6" i="47" s="1"/>
  <c r="AA6" i="47" s="1"/>
  <c r="S6" i="47"/>
  <c r="C10" i="47"/>
  <c r="U9" i="46"/>
  <c r="T9" i="46"/>
  <c r="X3" i="40"/>
  <c r="O10" i="46"/>
  <c r="B11" i="40" s="1"/>
  <c r="F11" i="40" s="1"/>
  <c r="V11" i="40" s="1"/>
  <c r="V10" i="46"/>
  <c r="M9" i="47"/>
  <c r="G9" i="47" l="1"/>
  <c r="Q12" i="46"/>
  <c r="D10" i="40"/>
  <c r="F10" i="40"/>
  <c r="V12" i="47"/>
  <c r="Z12" i="47" s="1"/>
  <c r="S3" i="47"/>
  <c r="R12" i="46"/>
  <c r="AC10" i="47"/>
  <c r="T9" i="47"/>
  <c r="X9" i="47" s="1"/>
  <c r="AD3" i="47"/>
  <c r="T8" i="47"/>
  <c r="X8" i="47" s="1"/>
  <c r="W8" i="47" s="1"/>
  <c r="L8" i="47"/>
  <c r="O9" i="47"/>
  <c r="E11" i="47"/>
  <c r="X12" i="46"/>
  <c r="W6" i="47"/>
  <c r="W12" i="46"/>
  <c r="D13" i="47"/>
  <c r="O11" i="46"/>
  <c r="B12" i="40" s="1"/>
  <c r="B13" i="40" s="1"/>
  <c r="V11" i="46"/>
  <c r="N9" i="47"/>
  <c r="L9" i="47" s="1"/>
  <c r="I13" i="47"/>
  <c r="U12" i="47"/>
  <c r="Y12" i="47" s="1"/>
  <c r="D11" i="40"/>
  <c r="G11" i="40"/>
  <c r="AC11" i="47"/>
  <c r="C11" i="47"/>
  <c r="U10" i="46"/>
  <c r="T10" i="46"/>
  <c r="B10" i="47"/>
  <c r="H10" i="47"/>
  <c r="C12" i="40"/>
  <c r="G12" i="40" s="1"/>
  <c r="W12" i="40" s="1"/>
  <c r="Y11" i="46"/>
  <c r="Y12" i="46" s="1"/>
  <c r="S7" i="47"/>
  <c r="AB7" i="47"/>
  <c r="AA7" i="47" s="1"/>
  <c r="Y3" i="47"/>
  <c r="AC3" i="47" s="1"/>
  <c r="O12" i="46" l="1"/>
  <c r="C13" i="40"/>
  <c r="H11" i="40"/>
  <c r="W11" i="40"/>
  <c r="G13" i="40"/>
  <c r="C12" i="47"/>
  <c r="U11" i="46"/>
  <c r="U12" i="46" s="1"/>
  <c r="T11" i="46"/>
  <c r="T12" i="46" s="1"/>
  <c r="V12" i="46"/>
  <c r="AA3" i="47"/>
  <c r="W3" i="47"/>
  <c r="M10" i="47"/>
  <c r="G10" i="47"/>
  <c r="F12" i="40"/>
  <c r="F13" i="40" s="1"/>
  <c r="D12" i="40"/>
  <c r="D13" i="40" s="1"/>
  <c r="J11" i="47"/>
  <c r="E13" i="47"/>
  <c r="AC12" i="47"/>
  <c r="V9" i="47"/>
  <c r="AB9" i="47"/>
  <c r="H10" i="40"/>
  <c r="V10" i="40"/>
  <c r="AD12" i="47"/>
  <c r="B11" i="47"/>
  <c r="H11" i="47"/>
  <c r="U9" i="47"/>
  <c r="Y9" i="47" s="1"/>
  <c r="N13" i="47"/>
  <c r="AB8" i="47"/>
  <c r="AA8" i="47" s="1"/>
  <c r="S8" i="47"/>
  <c r="H12" i="47" l="1"/>
  <c r="B12" i="47"/>
  <c r="B13" i="47" s="1"/>
  <c r="C13" i="47"/>
  <c r="X10" i="40"/>
  <c r="Y13" i="47"/>
  <c r="T10" i="47"/>
  <c r="X10" i="47" s="1"/>
  <c r="L10" i="47"/>
  <c r="S9" i="47"/>
  <c r="AC9" i="47"/>
  <c r="AC13" i="47" s="1"/>
  <c r="U13" i="47"/>
  <c r="O11" i="47"/>
  <c r="J13" i="47"/>
  <c r="W13" i="40"/>
  <c r="X11" i="40"/>
  <c r="G11" i="47"/>
  <c r="M11" i="47"/>
  <c r="Z9" i="47"/>
  <c r="H12" i="40"/>
  <c r="H13" i="40" s="1"/>
  <c r="V12" i="40"/>
  <c r="X12" i="40" s="1"/>
  <c r="V11" i="47" l="1"/>
  <c r="O13" i="47"/>
  <c r="S10" i="47"/>
  <c r="AB10" i="47"/>
  <c r="M12" i="47"/>
  <c r="G12" i="47"/>
  <c r="H13" i="47"/>
  <c r="G13" i="47" s="1"/>
  <c r="W10" i="47"/>
  <c r="W9" i="47"/>
  <c r="T11" i="47"/>
  <c r="L11" i="47"/>
  <c r="V13" i="40"/>
  <c r="X13" i="40" s="1"/>
  <c r="AD9" i="47"/>
  <c r="X11" i="47" l="1"/>
  <c r="AB11" i="47" s="1"/>
  <c r="AA10" i="47"/>
  <c r="T12" i="47"/>
  <c r="X12" i="47" s="1"/>
  <c r="W12" i="47" s="1"/>
  <c r="L12" i="47"/>
  <c r="L13" i="47" s="1"/>
  <c r="M13" i="47"/>
  <c r="S11" i="47"/>
  <c r="AA9" i="47"/>
  <c r="Z11" i="47"/>
  <c r="Z13" i="47" s="1"/>
  <c r="V13" i="47"/>
  <c r="AD11" i="47" l="1"/>
  <c r="AD13" i="47" s="1"/>
  <c r="AB12" i="47"/>
  <c r="S12" i="47"/>
  <c r="S13" i="47" s="1"/>
  <c r="W11" i="47"/>
  <c r="W13" i="47" s="1"/>
  <c r="X13" i="47"/>
  <c r="T13" i="47"/>
  <c r="AA11" i="47" l="1"/>
  <c r="AA12" i="47"/>
  <c r="AB13" i="47"/>
  <c r="AA13" i="47" l="1"/>
  <c r="E2" i="18" l="1"/>
  <c r="S2" i="18" l="1"/>
  <c r="T2" i="18" s="1"/>
  <c r="R2" i="18"/>
  <c r="O2" i="18"/>
  <c r="P2" i="18" s="1"/>
  <c r="N2" i="18"/>
  <c r="K2" i="18"/>
  <c r="L2" i="18" s="1"/>
  <c r="J2" i="18"/>
  <c r="G2" i="18"/>
  <c r="H2" i="18" s="1"/>
  <c r="F2" i="18"/>
  <c r="D2" i="18"/>
  <c r="C2" i="18"/>
  <c r="B2" i="18"/>
  <c r="U5" i="18"/>
  <c r="U6" i="18"/>
  <c r="U7" i="18"/>
  <c r="U8" i="18"/>
  <c r="U9" i="18"/>
  <c r="U10" i="18"/>
  <c r="U11" i="18"/>
  <c r="U12" i="18"/>
  <c r="U13" i="18"/>
  <c r="U14" i="18"/>
  <c r="U15" i="18"/>
  <c r="U16" i="18"/>
  <c r="U17" i="18"/>
  <c r="U18" i="18"/>
  <c r="U4" i="18"/>
  <c r="Q5" i="18"/>
  <c r="Q6" i="18"/>
  <c r="Q7" i="18"/>
  <c r="Q8" i="18"/>
  <c r="Q9" i="18"/>
  <c r="Q10" i="18"/>
  <c r="Q11" i="18"/>
  <c r="Q12" i="18"/>
  <c r="Q13" i="18"/>
  <c r="Q14" i="18"/>
  <c r="Q15" i="18"/>
  <c r="Q16" i="18"/>
  <c r="Q17" i="18"/>
  <c r="Q18" i="18"/>
  <c r="Q4" i="18"/>
  <c r="M5" i="18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4" i="18"/>
  <c r="U3" i="18"/>
  <c r="Q3" i="18"/>
  <c r="M3" i="18"/>
  <c r="I4" i="18"/>
  <c r="I5" i="18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3" i="18"/>
  <c r="U2" i="18" l="1"/>
  <c r="I2" i="18"/>
  <c r="Q2" i="18"/>
  <c r="M2" i="18"/>
  <c r="C6" i="5" l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5" i="5"/>
  <c r="AE5" i="14" l="1"/>
  <c r="AE6" i="14"/>
  <c r="AE7" i="14"/>
  <c r="AE8" i="14"/>
  <c r="AD5" i="14"/>
  <c r="AD6" i="14"/>
  <c r="AD7" i="14"/>
  <c r="AD8" i="14"/>
  <c r="AC5" i="14"/>
  <c r="AC6" i="14"/>
  <c r="AC7" i="14"/>
  <c r="AC8" i="14"/>
  <c r="AB5" i="14"/>
  <c r="AB6" i="14"/>
  <c r="AB7" i="14"/>
  <c r="AB8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Y4" i="14"/>
  <c r="B4" i="14"/>
  <c r="AB4" i="14" l="1"/>
  <c r="F4" i="41" s="1"/>
  <c r="AD4" i="14"/>
  <c r="J4" i="41" s="1"/>
  <c r="AC4" i="14"/>
  <c r="H4" i="41" s="1"/>
  <c r="AE4" i="14"/>
  <c r="Z5" i="14"/>
  <c r="AA5" i="14"/>
  <c r="AA8" i="14"/>
  <c r="Z8" i="14"/>
  <c r="AA7" i="14"/>
  <c r="Z7" i="14"/>
  <c r="AA6" i="14"/>
  <c r="Z6" i="14"/>
  <c r="AA4" i="14" l="1"/>
  <c r="Z4" i="14"/>
  <c r="Z6" i="2" l="1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5" i="2"/>
  <c r="P21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5" i="2"/>
  <c r="O21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5" i="2"/>
  <c r="N21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5" i="2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19" i="6"/>
  <c r="O20" i="6"/>
  <c r="O21" i="6"/>
  <c r="O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5" i="6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S21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T5" i="2"/>
  <c r="AS5" i="2"/>
  <c r="AR5" i="2"/>
  <c r="AQ5" i="2"/>
  <c r="AP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I6" i="2"/>
  <c r="Q6" i="5" s="1"/>
  <c r="AI7" i="2"/>
  <c r="AI8" i="2"/>
  <c r="AI9" i="2"/>
  <c r="AI10" i="2"/>
  <c r="AI11" i="2"/>
  <c r="AI12" i="2"/>
  <c r="Q12" i="5" s="1"/>
  <c r="AI13" i="2"/>
  <c r="AI14" i="2"/>
  <c r="Q14" i="5" s="1"/>
  <c r="AI15" i="2"/>
  <c r="AI16" i="2"/>
  <c r="AI17" i="2"/>
  <c r="AI18" i="2"/>
  <c r="AI19" i="2"/>
  <c r="AI20" i="2"/>
  <c r="Q20" i="5" s="1"/>
  <c r="AI21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G6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J5" i="2"/>
  <c r="AI5" i="2"/>
  <c r="AH5" i="2"/>
  <c r="AG5" i="2"/>
  <c r="AF5" i="2"/>
  <c r="R15" i="5" l="1"/>
  <c r="R7" i="5"/>
  <c r="Y7" i="5" s="1"/>
  <c r="P16" i="5"/>
  <c r="P8" i="5"/>
  <c r="R16" i="5"/>
  <c r="R8" i="5"/>
  <c r="Q15" i="5"/>
  <c r="Q7" i="5"/>
  <c r="R14" i="5"/>
  <c r="R6" i="5"/>
  <c r="Q21" i="5"/>
  <c r="Q13" i="5"/>
  <c r="R21" i="5"/>
  <c r="R13" i="5"/>
  <c r="Q19" i="6"/>
  <c r="R17" i="5"/>
  <c r="R9" i="5"/>
  <c r="Q16" i="5"/>
  <c r="Q8" i="5"/>
  <c r="AU20" i="2"/>
  <c r="AU12" i="2"/>
  <c r="AV20" i="2"/>
  <c r="AV12" i="2"/>
  <c r="AW20" i="2"/>
  <c r="AW12" i="2"/>
  <c r="AX19" i="2"/>
  <c r="AX11" i="2"/>
  <c r="AY20" i="2"/>
  <c r="AY12" i="2"/>
  <c r="R19" i="5"/>
  <c r="R11" i="5"/>
  <c r="P18" i="5"/>
  <c r="P10" i="5"/>
  <c r="Q18" i="5"/>
  <c r="Q10" i="5"/>
  <c r="R18" i="5"/>
  <c r="R10" i="5"/>
  <c r="Q17" i="5"/>
  <c r="Q9" i="5"/>
  <c r="AU19" i="2"/>
  <c r="AU11" i="2"/>
  <c r="AV19" i="2"/>
  <c r="AV11" i="2"/>
  <c r="AW19" i="2"/>
  <c r="AW11" i="2"/>
  <c r="AX18" i="2"/>
  <c r="AX10" i="2"/>
  <c r="AY19" i="2"/>
  <c r="AY11" i="2"/>
  <c r="AU5" i="2"/>
  <c r="AU18" i="2"/>
  <c r="AU10" i="2"/>
  <c r="AV18" i="2"/>
  <c r="AV10" i="2"/>
  <c r="AW18" i="2"/>
  <c r="AW10" i="2"/>
  <c r="AX17" i="2"/>
  <c r="AX9" i="2"/>
  <c r="AY18" i="2"/>
  <c r="AY10" i="2"/>
  <c r="Q11" i="6"/>
  <c r="P20" i="5"/>
  <c r="P12" i="5"/>
  <c r="R20" i="5"/>
  <c r="R12" i="5"/>
  <c r="AV5" i="2"/>
  <c r="AU17" i="2"/>
  <c r="AU9" i="2"/>
  <c r="AV17" i="2"/>
  <c r="AV9" i="2"/>
  <c r="AW17" i="2"/>
  <c r="AW9" i="2"/>
  <c r="AX16" i="2"/>
  <c r="AX8" i="2"/>
  <c r="AY17" i="2"/>
  <c r="AY9" i="2"/>
  <c r="Q19" i="5"/>
  <c r="Q11" i="5"/>
  <c r="AW5" i="2"/>
  <c r="AU16" i="2"/>
  <c r="AU8" i="2"/>
  <c r="AV16" i="2"/>
  <c r="AV8" i="2"/>
  <c r="AW16" i="2"/>
  <c r="AW8" i="2"/>
  <c r="AX15" i="2"/>
  <c r="AX7" i="2"/>
  <c r="AY16" i="2"/>
  <c r="AY8" i="2"/>
  <c r="AX5" i="2"/>
  <c r="AU15" i="2"/>
  <c r="AU7" i="2"/>
  <c r="AV15" i="2"/>
  <c r="AV7" i="2"/>
  <c r="AW15" i="2"/>
  <c r="AW7" i="2"/>
  <c r="AX14" i="2"/>
  <c r="X14" i="5" s="1"/>
  <c r="AX6" i="2"/>
  <c r="X6" i="5" s="1"/>
  <c r="E5" i="41" s="1"/>
  <c r="O5" i="41" s="1"/>
  <c r="AY15" i="2"/>
  <c r="AY7" i="2"/>
  <c r="AY5" i="2"/>
  <c r="AU14" i="2"/>
  <c r="AU6" i="2"/>
  <c r="AV14" i="2"/>
  <c r="AV6" i="2"/>
  <c r="AW14" i="2"/>
  <c r="AW6" i="2"/>
  <c r="AX13" i="2"/>
  <c r="X13" i="5" s="1"/>
  <c r="AX21" i="2"/>
  <c r="AY14" i="2"/>
  <c r="AY6" i="2"/>
  <c r="Q15" i="6"/>
  <c r="Q7" i="6"/>
  <c r="AU21" i="2"/>
  <c r="AU13" i="2"/>
  <c r="AV21" i="2"/>
  <c r="AV13" i="2"/>
  <c r="AW21" i="2"/>
  <c r="AW13" i="2"/>
  <c r="AX20" i="2"/>
  <c r="X20" i="5" s="1"/>
  <c r="AX12" i="2"/>
  <c r="X12" i="5" s="1"/>
  <c r="AY21" i="2"/>
  <c r="AY13" i="2"/>
  <c r="P19" i="5"/>
  <c r="W19" i="5" s="1"/>
  <c r="P15" i="5"/>
  <c r="P11" i="5"/>
  <c r="P7" i="5"/>
  <c r="P14" i="5"/>
  <c r="P6" i="5"/>
  <c r="P21" i="5"/>
  <c r="P17" i="5"/>
  <c r="P13" i="5"/>
  <c r="P9" i="5"/>
  <c r="Q5" i="6"/>
  <c r="Q18" i="6"/>
  <c r="Q14" i="6"/>
  <c r="Q10" i="6"/>
  <c r="Q6" i="6"/>
  <c r="Q20" i="6"/>
  <c r="Q16" i="6"/>
  <c r="Q12" i="6"/>
  <c r="Q8" i="6"/>
  <c r="Q21" i="6"/>
  <c r="Q17" i="6"/>
  <c r="Q13" i="6"/>
  <c r="Q9" i="6"/>
  <c r="O8" i="5" l="1"/>
  <c r="S8" i="5" s="1"/>
  <c r="Y13" i="5"/>
  <c r="Y6" i="5"/>
  <c r="Y8" i="5"/>
  <c r="Y16" i="5"/>
  <c r="Y9" i="5"/>
  <c r="Y15" i="5"/>
  <c r="W16" i="5"/>
  <c r="D15" i="41" s="1"/>
  <c r="N15" i="41" s="1"/>
  <c r="Y14" i="5"/>
  <c r="W9" i="5"/>
  <c r="D8" i="41" s="1"/>
  <c r="N8" i="41" s="1"/>
  <c r="X7" i="5"/>
  <c r="E6" i="41" s="1"/>
  <c r="O6" i="41" s="1"/>
  <c r="Y17" i="5"/>
  <c r="O16" i="5"/>
  <c r="N16" i="5" s="1"/>
  <c r="X15" i="5"/>
  <c r="E14" i="41" s="1"/>
  <c r="O14" i="41" s="1"/>
  <c r="X8" i="5"/>
  <c r="E7" i="41" s="1"/>
  <c r="O7" i="41" s="1"/>
  <c r="X21" i="5"/>
  <c r="E20" i="41" s="1"/>
  <c r="O20" i="41" s="1"/>
  <c r="W8" i="5"/>
  <c r="X16" i="5"/>
  <c r="W11" i="5"/>
  <c r="D10" i="41" s="1"/>
  <c r="N10" i="41" s="1"/>
  <c r="Y21" i="5"/>
  <c r="Y12" i="5"/>
  <c r="Y20" i="5"/>
  <c r="W20" i="5"/>
  <c r="D19" i="41" s="1"/>
  <c r="N19" i="41" s="1"/>
  <c r="W17" i="5"/>
  <c r="D16" i="41" s="1"/>
  <c r="N16" i="41" s="1"/>
  <c r="W15" i="5"/>
  <c r="D14" i="41" s="1"/>
  <c r="N14" i="41" s="1"/>
  <c r="AB5" i="41"/>
  <c r="V5" i="41"/>
  <c r="D18" i="41"/>
  <c r="N18" i="41" s="1"/>
  <c r="E13" i="41"/>
  <c r="O13" i="41" s="1"/>
  <c r="E15" i="41"/>
  <c r="O15" i="41" s="1"/>
  <c r="E19" i="41"/>
  <c r="O19" i="41" s="1"/>
  <c r="E11" i="41"/>
  <c r="O11" i="41" s="1"/>
  <c r="D7" i="41"/>
  <c r="N7" i="41" s="1"/>
  <c r="Q5" i="5"/>
  <c r="R5" i="5"/>
  <c r="W7" i="5"/>
  <c r="E12" i="41"/>
  <c r="O12" i="41" s="1"/>
  <c r="P5" i="5"/>
  <c r="X18" i="5"/>
  <c r="W10" i="5"/>
  <c r="W18" i="5"/>
  <c r="Y19" i="5"/>
  <c r="Y10" i="5"/>
  <c r="W21" i="5"/>
  <c r="O20" i="5"/>
  <c r="S20" i="5" s="1"/>
  <c r="W12" i="5"/>
  <c r="Y11" i="5"/>
  <c r="X9" i="5"/>
  <c r="X17" i="5"/>
  <c r="O7" i="5"/>
  <c r="S7" i="5" s="1"/>
  <c r="Y18" i="5"/>
  <c r="O15" i="5"/>
  <c r="S15" i="5" s="1"/>
  <c r="X10" i="5"/>
  <c r="W14" i="5"/>
  <c r="W6" i="5"/>
  <c r="D5" i="41" s="1"/>
  <c r="N5" i="41" s="1"/>
  <c r="X11" i="5"/>
  <c r="O10" i="5"/>
  <c r="O18" i="5"/>
  <c r="X19" i="5"/>
  <c r="O12" i="5"/>
  <c r="W13" i="5"/>
  <c r="O19" i="5"/>
  <c r="O11" i="5"/>
  <c r="O21" i="5"/>
  <c r="O13" i="5"/>
  <c r="O9" i="5"/>
  <c r="O14" i="5"/>
  <c r="O6" i="5"/>
  <c r="O17" i="5"/>
  <c r="N8" i="5" l="1"/>
  <c r="V8" i="5" s="1"/>
  <c r="S16" i="5"/>
  <c r="N20" i="5"/>
  <c r="V20" i="5" s="1"/>
  <c r="T20" i="5" s="1"/>
  <c r="AF5" i="41"/>
  <c r="AA5" i="41"/>
  <c r="U5" i="41"/>
  <c r="AB11" i="41"/>
  <c r="AL11" i="41" s="1"/>
  <c r="V11" i="41"/>
  <c r="AB13" i="41"/>
  <c r="AL13" i="41" s="1"/>
  <c r="V13" i="41"/>
  <c r="D12" i="41"/>
  <c r="N12" i="41" s="1"/>
  <c r="E16" i="41"/>
  <c r="O16" i="41" s="1"/>
  <c r="D17" i="41"/>
  <c r="N17" i="41" s="1"/>
  <c r="AB12" i="41"/>
  <c r="AL12" i="41" s="1"/>
  <c r="V12" i="41"/>
  <c r="AB20" i="41"/>
  <c r="AL20" i="41" s="1"/>
  <c r="V20" i="41"/>
  <c r="AA15" i="41"/>
  <c r="AK15" i="41" s="1"/>
  <c r="U15" i="41"/>
  <c r="D13" i="41"/>
  <c r="N13" i="41" s="1"/>
  <c r="E8" i="41"/>
  <c r="O8" i="41" s="1"/>
  <c r="D9" i="41"/>
  <c r="N9" i="41" s="1"/>
  <c r="AB19" i="41"/>
  <c r="AL19" i="41" s="1"/>
  <c r="V19" i="41"/>
  <c r="AA18" i="41"/>
  <c r="AK18" i="41" s="1"/>
  <c r="U18" i="41"/>
  <c r="E18" i="41"/>
  <c r="O18" i="41" s="1"/>
  <c r="E17" i="41"/>
  <c r="O17" i="41" s="1"/>
  <c r="D6" i="41"/>
  <c r="N6" i="41" s="1"/>
  <c r="AA10" i="41"/>
  <c r="AK10" i="41" s="1"/>
  <c r="U10" i="41"/>
  <c r="D11" i="41"/>
  <c r="N11" i="41" s="1"/>
  <c r="AA8" i="41"/>
  <c r="AK8" i="41" s="1"/>
  <c r="U8" i="41"/>
  <c r="AB6" i="41"/>
  <c r="AL6" i="41" s="1"/>
  <c r="V6" i="41"/>
  <c r="AA16" i="41"/>
  <c r="AK16" i="41" s="1"/>
  <c r="U16" i="41"/>
  <c r="AB7" i="41"/>
  <c r="AL7" i="41" s="1"/>
  <c r="V7" i="41"/>
  <c r="E9" i="41"/>
  <c r="O9" i="41" s="1"/>
  <c r="AA19" i="41"/>
  <c r="AK19" i="41" s="1"/>
  <c r="U19" i="41"/>
  <c r="D20" i="41"/>
  <c r="N20" i="41" s="1"/>
  <c r="AA14" i="41"/>
  <c r="AK14" i="41" s="1"/>
  <c r="U14" i="41"/>
  <c r="AA7" i="41"/>
  <c r="AK7" i="41" s="1"/>
  <c r="U7" i="41"/>
  <c r="AB15" i="41"/>
  <c r="AL15" i="41" s="1"/>
  <c r="V15" i="41"/>
  <c r="E10" i="41"/>
  <c r="O10" i="41" s="1"/>
  <c r="AB14" i="41"/>
  <c r="AL14" i="41" s="1"/>
  <c r="V14" i="41"/>
  <c r="AL5" i="41"/>
  <c r="W5" i="5"/>
  <c r="X5" i="5"/>
  <c r="Y5" i="5"/>
  <c r="O5" i="5"/>
  <c r="S5" i="5" s="1"/>
  <c r="N15" i="5"/>
  <c r="N7" i="5"/>
  <c r="V16" i="5"/>
  <c r="N9" i="5"/>
  <c r="S9" i="5"/>
  <c r="N21" i="5"/>
  <c r="S21" i="5"/>
  <c r="N12" i="5"/>
  <c r="S12" i="5"/>
  <c r="N11" i="5"/>
  <c r="S11" i="5"/>
  <c r="N17" i="5"/>
  <c r="S17" i="5"/>
  <c r="N19" i="5"/>
  <c r="S19" i="5"/>
  <c r="N6" i="5"/>
  <c r="S6" i="5"/>
  <c r="N18" i="5"/>
  <c r="S18" i="5"/>
  <c r="N13" i="5"/>
  <c r="S13" i="5"/>
  <c r="N14" i="5"/>
  <c r="S14" i="5"/>
  <c r="N10" i="5"/>
  <c r="S10" i="5"/>
  <c r="N5" i="5" l="1"/>
  <c r="AF15" i="41"/>
  <c r="AE19" i="41"/>
  <c r="AF6" i="41"/>
  <c r="AF19" i="41"/>
  <c r="AE15" i="41"/>
  <c r="AF12" i="41"/>
  <c r="AF13" i="41"/>
  <c r="AE5" i="41"/>
  <c r="AE16" i="41"/>
  <c r="AE10" i="41"/>
  <c r="AE18" i="41"/>
  <c r="AF11" i="41"/>
  <c r="AE7" i="41"/>
  <c r="AE8" i="41"/>
  <c r="AF20" i="41"/>
  <c r="AB9" i="41"/>
  <c r="AL9" i="41" s="1"/>
  <c r="V9" i="41"/>
  <c r="AB17" i="41"/>
  <c r="AL17" i="41" s="1"/>
  <c r="V17" i="41"/>
  <c r="AA9" i="41"/>
  <c r="AK9" i="41" s="1"/>
  <c r="U9" i="41"/>
  <c r="AA12" i="41"/>
  <c r="AK12" i="41" s="1"/>
  <c r="U12" i="41"/>
  <c r="AV5" i="41"/>
  <c r="AP5" i="41"/>
  <c r="AU7" i="41"/>
  <c r="AY7" i="41" s="1"/>
  <c r="BE7" i="41" s="1"/>
  <c r="AO7" i="41"/>
  <c r="AU8" i="41"/>
  <c r="AY8" i="41" s="1"/>
  <c r="BE8" i="41" s="1"/>
  <c r="AO8" i="41"/>
  <c r="AV20" i="41"/>
  <c r="AZ20" i="41" s="1"/>
  <c r="BF20" i="41" s="1"/>
  <c r="AP20" i="41"/>
  <c r="U20" i="5"/>
  <c r="C19" i="41"/>
  <c r="AF14" i="41"/>
  <c r="AE14" i="41"/>
  <c r="AF7" i="41"/>
  <c r="AA11" i="41"/>
  <c r="AK11" i="41" s="1"/>
  <c r="U11" i="41"/>
  <c r="AB18" i="41"/>
  <c r="AL18" i="41" s="1"/>
  <c r="V18" i="41"/>
  <c r="AB8" i="41"/>
  <c r="AL8" i="41" s="1"/>
  <c r="V8" i="41"/>
  <c r="E4" i="41"/>
  <c r="O4" i="41" s="1"/>
  <c r="V4" i="41" s="1"/>
  <c r="AV14" i="41"/>
  <c r="AZ14" i="41" s="1"/>
  <c r="BF14" i="41" s="1"/>
  <c r="AP14" i="41"/>
  <c r="AO14" i="41"/>
  <c r="AU14" i="41"/>
  <c r="AV7" i="41"/>
  <c r="AZ7" i="41" s="1"/>
  <c r="BF7" i="41" s="1"/>
  <c r="AP7" i="41"/>
  <c r="AV12" i="41"/>
  <c r="AZ12" i="41" s="1"/>
  <c r="BF12" i="41" s="1"/>
  <c r="AP12" i="41"/>
  <c r="AV13" i="41"/>
  <c r="AZ13" i="41" s="1"/>
  <c r="BF13" i="41" s="1"/>
  <c r="AP13" i="41"/>
  <c r="C7" i="41"/>
  <c r="AB10" i="41"/>
  <c r="AL10" i="41" s="1"/>
  <c r="V10" i="41"/>
  <c r="AA20" i="41"/>
  <c r="AK20" i="41" s="1"/>
  <c r="U20" i="41"/>
  <c r="AA13" i="41"/>
  <c r="AK13" i="41" s="1"/>
  <c r="U13" i="41"/>
  <c r="AA17" i="41"/>
  <c r="AK17" i="41" s="1"/>
  <c r="U17" i="41"/>
  <c r="C15" i="41"/>
  <c r="D4" i="41"/>
  <c r="N4" i="41" s="1"/>
  <c r="U4" i="41" s="1"/>
  <c r="AU16" i="41"/>
  <c r="AY16" i="41" s="1"/>
  <c r="BE16" i="41" s="1"/>
  <c r="AO16" i="41"/>
  <c r="AU10" i="41"/>
  <c r="AY10" i="41" s="1"/>
  <c r="BE10" i="41" s="1"/>
  <c r="AO10" i="41"/>
  <c r="AU18" i="41"/>
  <c r="AY18" i="41" s="1"/>
  <c r="BE18" i="41" s="1"/>
  <c r="AO18" i="41"/>
  <c r="AV11" i="41"/>
  <c r="AZ11" i="41" s="1"/>
  <c r="BF11" i="41" s="1"/>
  <c r="AP11" i="41"/>
  <c r="AA6" i="41"/>
  <c r="AK6" i="41" s="1"/>
  <c r="U6" i="41"/>
  <c r="AB16" i="41"/>
  <c r="AL16" i="41" s="1"/>
  <c r="V16" i="41"/>
  <c r="AV15" i="41"/>
  <c r="AZ15" i="41" s="1"/>
  <c r="BF15" i="41" s="1"/>
  <c r="AP15" i="41"/>
  <c r="AU19" i="41"/>
  <c r="AY19" i="41" s="1"/>
  <c r="BE19" i="41" s="1"/>
  <c r="AO19" i="41"/>
  <c r="AV6" i="41"/>
  <c r="AZ6" i="41" s="1"/>
  <c r="BF6" i="41" s="1"/>
  <c r="AP6" i="41"/>
  <c r="AV19" i="41"/>
  <c r="AZ19" i="41" s="1"/>
  <c r="BF19" i="41" s="1"/>
  <c r="AP19" i="41"/>
  <c r="AU15" i="41"/>
  <c r="AY15" i="41" s="1"/>
  <c r="BE15" i="41" s="1"/>
  <c r="AO15" i="41"/>
  <c r="AK5" i="41"/>
  <c r="T8" i="5"/>
  <c r="U8" i="5"/>
  <c r="V7" i="5"/>
  <c r="C6" i="41" s="1"/>
  <c r="V15" i="5"/>
  <c r="U15" i="5" s="1"/>
  <c r="U16" i="5"/>
  <c r="T16" i="5"/>
  <c r="V13" i="5"/>
  <c r="V17" i="5"/>
  <c r="V18" i="5"/>
  <c r="C17" i="41" s="1"/>
  <c r="V11" i="5"/>
  <c r="C10" i="41" s="1"/>
  <c r="V9" i="5"/>
  <c r="C8" i="41" s="1"/>
  <c r="V10" i="5"/>
  <c r="V6" i="5"/>
  <c r="C5" i="41" s="1"/>
  <c r="V12" i="5"/>
  <c r="V14" i="5"/>
  <c r="C13" i="41" s="1"/>
  <c r="V19" i="5"/>
  <c r="C18" i="41" s="1"/>
  <c r="V21" i="5"/>
  <c r="C20" i="41" s="1"/>
  <c r="AF8" i="41" l="1"/>
  <c r="T6" i="5"/>
  <c r="U7" i="5"/>
  <c r="AF10" i="41"/>
  <c r="AF18" i="41"/>
  <c r="T7" i="5"/>
  <c r="AE17" i="41"/>
  <c r="AF16" i="41"/>
  <c r="AF17" i="41"/>
  <c r="AF9" i="41"/>
  <c r="AE20" i="41"/>
  <c r="AE9" i="41"/>
  <c r="AU6" i="41"/>
  <c r="AY6" i="41" s="1"/>
  <c r="BE6" i="41" s="1"/>
  <c r="AO6" i="41"/>
  <c r="AU13" i="41"/>
  <c r="AY13" i="41" s="1"/>
  <c r="BE13" i="41" s="1"/>
  <c r="AO13" i="41"/>
  <c r="AU11" i="41"/>
  <c r="AY11" i="41" s="1"/>
  <c r="BE11" i="41" s="1"/>
  <c r="AO11" i="41"/>
  <c r="AU12" i="41"/>
  <c r="AY12" i="41" s="1"/>
  <c r="BE12" i="41" s="1"/>
  <c r="AO12" i="41"/>
  <c r="M18" i="41"/>
  <c r="B18" i="41"/>
  <c r="U10" i="5"/>
  <c r="C9" i="41"/>
  <c r="T17" i="5"/>
  <c r="C16" i="41"/>
  <c r="AU20" i="41"/>
  <c r="AY20" i="41" s="1"/>
  <c r="BE20" i="41" s="1"/>
  <c r="AO20" i="41"/>
  <c r="AU9" i="41"/>
  <c r="AY9" i="41" s="1"/>
  <c r="BE9" i="41" s="1"/>
  <c r="AO9" i="41"/>
  <c r="M13" i="41"/>
  <c r="B13" i="41"/>
  <c r="M8" i="41"/>
  <c r="B8" i="41"/>
  <c r="M15" i="41"/>
  <c r="B15" i="41"/>
  <c r="T13" i="5"/>
  <c r="C12" i="41"/>
  <c r="AV10" i="41"/>
  <c r="AZ10" i="41" s="1"/>
  <c r="BF10" i="41" s="1"/>
  <c r="AP10" i="41"/>
  <c r="AV8" i="41"/>
  <c r="AZ8" i="41" s="1"/>
  <c r="BF8" i="41" s="1"/>
  <c r="AP8" i="41"/>
  <c r="M19" i="41"/>
  <c r="B19" i="41"/>
  <c r="AL4" i="41"/>
  <c r="AV17" i="41"/>
  <c r="AZ17" i="41" s="1"/>
  <c r="BF17" i="41" s="1"/>
  <c r="AP17" i="41"/>
  <c r="M10" i="41"/>
  <c r="B10" i="41"/>
  <c r="C14" i="41"/>
  <c r="M7" i="41"/>
  <c r="L7" i="41" s="1"/>
  <c r="B7" i="41"/>
  <c r="AY14" i="41"/>
  <c r="BE14" i="41" s="1"/>
  <c r="BI14" i="41" s="1"/>
  <c r="M6" i="41"/>
  <c r="B6" i="41"/>
  <c r="AA4" i="41"/>
  <c r="AV16" i="41"/>
  <c r="AZ16" i="41" s="1"/>
  <c r="BF16" i="41" s="1"/>
  <c r="AP16" i="41"/>
  <c r="AU17" i="41"/>
  <c r="AY17" i="41" s="1"/>
  <c r="BE17" i="41" s="1"/>
  <c r="AO17" i="41"/>
  <c r="AV18" i="41"/>
  <c r="AZ18" i="41" s="1"/>
  <c r="BF18" i="41" s="1"/>
  <c r="AP18" i="41"/>
  <c r="AZ5" i="41"/>
  <c r="BF5" i="41" s="1"/>
  <c r="AV9" i="41"/>
  <c r="AZ9" i="41" s="1"/>
  <c r="BF9" i="41" s="1"/>
  <c r="AP9" i="41"/>
  <c r="U12" i="5"/>
  <c r="C11" i="41"/>
  <c r="M20" i="41"/>
  <c r="B20" i="41"/>
  <c r="M5" i="41"/>
  <c r="B5" i="41"/>
  <c r="M17" i="41"/>
  <c r="B17" i="41"/>
  <c r="T15" i="5"/>
  <c r="AU5" i="41"/>
  <c r="AY5" i="41" s="1"/>
  <c r="AO5" i="41"/>
  <c r="AK4" i="41"/>
  <c r="AE6" i="41"/>
  <c r="AE13" i="41"/>
  <c r="AE11" i="41"/>
  <c r="AE12" i="41"/>
  <c r="AB4" i="41"/>
  <c r="BI10" i="41"/>
  <c r="BJ14" i="41"/>
  <c r="BJ19" i="41"/>
  <c r="BI15" i="41"/>
  <c r="BJ20" i="41"/>
  <c r="BI7" i="41"/>
  <c r="BJ11" i="41"/>
  <c r="BJ15" i="41"/>
  <c r="BI16" i="41"/>
  <c r="BJ6" i="41"/>
  <c r="BJ7" i="41"/>
  <c r="BI18" i="41"/>
  <c r="BJ13" i="41"/>
  <c r="U6" i="5"/>
  <c r="V5" i="5"/>
  <c r="U5" i="5" s="1"/>
  <c r="BI8" i="41"/>
  <c r="BJ12" i="41"/>
  <c r="BI19" i="41"/>
  <c r="U17" i="5"/>
  <c r="T10" i="5"/>
  <c r="U13" i="5"/>
  <c r="T21" i="5"/>
  <c r="U21" i="5"/>
  <c r="T19" i="5"/>
  <c r="U19" i="5"/>
  <c r="T12" i="5"/>
  <c r="T9" i="5"/>
  <c r="U9" i="5"/>
  <c r="T14" i="5"/>
  <c r="U14" i="5"/>
  <c r="T11" i="5"/>
  <c r="U11" i="5"/>
  <c r="T18" i="5"/>
  <c r="U18" i="5"/>
  <c r="T5" i="5" l="1"/>
  <c r="L19" i="41"/>
  <c r="L6" i="41"/>
  <c r="BI6" i="41"/>
  <c r="Z6" i="41"/>
  <c r="AJ6" i="41" s="1"/>
  <c r="T6" i="41"/>
  <c r="Z20" i="41"/>
  <c r="AJ20" i="41" s="1"/>
  <c r="T20" i="41"/>
  <c r="Z8" i="41"/>
  <c r="AJ8" i="41" s="1"/>
  <c r="T8" i="41"/>
  <c r="M11" i="41"/>
  <c r="B11" i="41"/>
  <c r="AU4" i="41"/>
  <c r="Z10" i="41"/>
  <c r="AJ10" i="41" s="1"/>
  <c r="T10" i="41"/>
  <c r="M16" i="41"/>
  <c r="B16" i="41"/>
  <c r="Z13" i="41"/>
  <c r="AJ13" i="41" s="1"/>
  <c r="T13" i="41"/>
  <c r="Z7" i="41"/>
  <c r="AJ7" i="41" s="1"/>
  <c r="T7" i="41"/>
  <c r="M12" i="41"/>
  <c r="B12" i="41"/>
  <c r="M9" i="41"/>
  <c r="B9" i="41"/>
  <c r="Z17" i="41"/>
  <c r="AJ17" i="41" s="1"/>
  <c r="T17" i="41"/>
  <c r="C4" i="41"/>
  <c r="AV4" i="41"/>
  <c r="Z5" i="41"/>
  <c r="T5" i="41"/>
  <c r="M14" i="41"/>
  <c r="B14" i="41"/>
  <c r="Z19" i="41"/>
  <c r="AJ19" i="41" s="1"/>
  <c r="T19" i="41"/>
  <c r="Z15" i="41"/>
  <c r="T15" i="41"/>
  <c r="L15" i="41"/>
  <c r="Z18" i="41"/>
  <c r="AJ18" i="41" s="1"/>
  <c r="T18" i="41"/>
  <c r="BF4" i="41"/>
  <c r="BJ9" i="41"/>
  <c r="BI11" i="41"/>
  <c r="BI13" i="41"/>
  <c r="BI9" i="41"/>
  <c r="AE4" i="41"/>
  <c r="BI20" i="41"/>
  <c r="AF4" i="41"/>
  <c r="BI12" i="41"/>
  <c r="L8" i="41"/>
  <c r="AP4" i="41"/>
  <c r="BI17" i="41"/>
  <c r="BJ18" i="41"/>
  <c r="AZ4" i="41"/>
  <c r="L10" i="41"/>
  <c r="L13" i="41"/>
  <c r="BJ8" i="41"/>
  <c r="BE5" i="41"/>
  <c r="BE4" i="41" s="1"/>
  <c r="AO4" i="41"/>
  <c r="L5" i="41"/>
  <c r="L17" i="41"/>
  <c r="L18" i="41"/>
  <c r="L20" i="41"/>
  <c r="BJ10" i="41"/>
  <c r="BJ17" i="41"/>
  <c r="BJ16" i="41"/>
  <c r="Y6" i="41" l="1"/>
  <c r="L11" i="41"/>
  <c r="AD18" i="41"/>
  <c r="AC18" i="41" s="1"/>
  <c r="AD17" i="41"/>
  <c r="AC17" i="41" s="1"/>
  <c r="AD13" i="41"/>
  <c r="AC13" i="41" s="1"/>
  <c r="AD5" i="41"/>
  <c r="AD20" i="41"/>
  <c r="AC20" i="41" s="1"/>
  <c r="AD15" i="41"/>
  <c r="AC15" i="41" s="1"/>
  <c r="AD10" i="41"/>
  <c r="AC10" i="41" s="1"/>
  <c r="AD8" i="41"/>
  <c r="AC8" i="41" s="1"/>
  <c r="AD6" i="41"/>
  <c r="AC6" i="41" s="1"/>
  <c r="Y7" i="41"/>
  <c r="AT19" i="41"/>
  <c r="AX19" i="41" s="1"/>
  <c r="AN19" i="41"/>
  <c r="AT7" i="41"/>
  <c r="AX7" i="41" s="1"/>
  <c r="AN7" i="41"/>
  <c r="AM7" i="41" s="1"/>
  <c r="AT18" i="41"/>
  <c r="AX18" i="41" s="1"/>
  <c r="AN18" i="41"/>
  <c r="Z11" i="41"/>
  <c r="AJ11" i="41" s="1"/>
  <c r="T11" i="41"/>
  <c r="Z14" i="41"/>
  <c r="T14" i="41"/>
  <c r="L14" i="41"/>
  <c r="AT17" i="41"/>
  <c r="AX17" i="41" s="1"/>
  <c r="AN17" i="41"/>
  <c r="AT13" i="41"/>
  <c r="AX13" i="41" s="1"/>
  <c r="AN13" i="41"/>
  <c r="AT8" i="41"/>
  <c r="AX8" i="41" s="1"/>
  <c r="AN8" i="41"/>
  <c r="AJ5" i="41"/>
  <c r="Z9" i="41"/>
  <c r="AJ9" i="41" s="1"/>
  <c r="T9" i="41"/>
  <c r="Z16" i="41"/>
  <c r="AJ16" i="41" s="1"/>
  <c r="T16" i="41"/>
  <c r="AT20" i="41"/>
  <c r="AX20" i="41" s="1"/>
  <c r="AN20" i="41"/>
  <c r="AJ15" i="41"/>
  <c r="Y15" i="41"/>
  <c r="Z12" i="41"/>
  <c r="AJ12" i="41" s="1"/>
  <c r="T12" i="41"/>
  <c r="AT10" i="41"/>
  <c r="AX10" i="41" s="1"/>
  <c r="AN10" i="41"/>
  <c r="Y19" i="41"/>
  <c r="AD19" i="41"/>
  <c r="AC19" i="41" s="1"/>
  <c r="M4" i="41"/>
  <c r="B4" i="41"/>
  <c r="AD7" i="41"/>
  <c r="AC7" i="41" s="1"/>
  <c r="AT6" i="41"/>
  <c r="AX6" i="41" s="1"/>
  <c r="AN6" i="41"/>
  <c r="Y5" i="41"/>
  <c r="Y10" i="41"/>
  <c r="AI6" i="41"/>
  <c r="Y18" i="41"/>
  <c r="L9" i="41"/>
  <c r="BJ5" i="41"/>
  <c r="BJ4" i="41" s="1"/>
  <c r="L16" i="41"/>
  <c r="L12" i="41"/>
  <c r="Y17" i="41"/>
  <c r="BI5" i="41"/>
  <c r="AY4" i="41"/>
  <c r="AI7" i="41"/>
  <c r="Y13" i="41"/>
  <c r="AI19" i="41"/>
  <c r="Y8" i="41"/>
  <c r="Y20" i="41"/>
  <c r="AM6" i="41" l="1"/>
  <c r="Y11" i="41"/>
  <c r="BI4" i="41"/>
  <c r="AD11" i="41"/>
  <c r="AC11" i="41" s="1"/>
  <c r="AD16" i="41"/>
  <c r="AC16" i="41" s="1"/>
  <c r="AD12" i="41"/>
  <c r="AC12" i="41" s="1"/>
  <c r="AD9" i="41"/>
  <c r="AC9" i="41" s="1"/>
  <c r="Z4" i="41"/>
  <c r="Y4" i="41" s="1"/>
  <c r="AD14" i="41"/>
  <c r="AC14" i="41" s="1"/>
  <c r="T4" i="41"/>
  <c r="L4" i="41"/>
  <c r="AT15" i="41"/>
  <c r="AN15" i="41"/>
  <c r="AI15" i="41"/>
  <c r="AT5" i="41"/>
  <c r="AN5" i="41"/>
  <c r="AJ14" i="41"/>
  <c r="AJ4" i="41" s="1"/>
  <c r="AI4" i="41" s="1"/>
  <c r="Y14" i="41"/>
  <c r="AT16" i="41"/>
  <c r="AX16" i="41" s="1"/>
  <c r="AN16" i="41"/>
  <c r="AT11" i="41"/>
  <c r="AX11" i="41" s="1"/>
  <c r="AN11" i="41"/>
  <c r="AT12" i="41"/>
  <c r="AX12" i="41" s="1"/>
  <c r="AN12" i="41"/>
  <c r="AT9" i="41"/>
  <c r="AX9" i="41" s="1"/>
  <c r="AN9" i="41"/>
  <c r="Y12" i="41"/>
  <c r="Y9" i="41"/>
  <c r="AI8" i="41"/>
  <c r="AM8" i="41"/>
  <c r="AM19" i="41"/>
  <c r="AS6" i="41"/>
  <c r="BD6" i="41"/>
  <c r="BH6" i="41" s="1"/>
  <c r="AS19" i="41"/>
  <c r="BD19" i="41"/>
  <c r="BH19" i="41" s="1"/>
  <c r="AI11" i="41"/>
  <c r="AC5" i="41"/>
  <c r="Y16" i="41"/>
  <c r="AI10" i="41"/>
  <c r="AM10" i="41"/>
  <c r="AM13" i="41"/>
  <c r="AI13" i="41"/>
  <c r="BD7" i="41"/>
  <c r="BH7" i="41" s="1"/>
  <c r="AS7" i="41"/>
  <c r="AI20" i="41"/>
  <c r="AI17" i="41"/>
  <c r="AI5" i="41"/>
  <c r="AM18" i="41"/>
  <c r="AI18" i="41"/>
  <c r="AM15" i="41" l="1"/>
  <c r="AX5" i="41"/>
  <c r="BD5" i="41" s="1"/>
  <c r="BH5" i="41" s="1"/>
  <c r="AX15" i="41"/>
  <c r="AS15" i="41"/>
  <c r="AT14" i="41"/>
  <c r="AT4" i="41" s="1"/>
  <c r="AS4" i="41" s="1"/>
  <c r="AN14" i="41"/>
  <c r="AI14" i="41"/>
  <c r="AS20" i="41"/>
  <c r="BD20" i="41"/>
  <c r="BH20" i="41" s="1"/>
  <c r="AS11" i="41"/>
  <c r="BD11" i="41"/>
  <c r="BH11" i="41" s="1"/>
  <c r="AW7" i="41"/>
  <c r="AS10" i="41"/>
  <c r="BD10" i="41"/>
  <c r="BH10" i="41" s="1"/>
  <c r="AW19" i="41"/>
  <c r="AS8" i="41"/>
  <c r="BD8" i="41"/>
  <c r="BH8" i="41" s="1"/>
  <c r="AM17" i="41"/>
  <c r="AS5" i="41"/>
  <c r="BD18" i="41"/>
  <c r="BH18" i="41" s="1"/>
  <c r="AS18" i="41"/>
  <c r="AM16" i="41"/>
  <c r="AI16" i="41"/>
  <c r="AW6" i="41"/>
  <c r="AI9" i="41"/>
  <c r="BD17" i="41"/>
  <c r="BH17" i="41" s="1"/>
  <c r="AS17" i="41"/>
  <c r="AC4" i="41"/>
  <c r="AD4" i="41"/>
  <c r="AI12" i="41"/>
  <c r="AM5" i="41"/>
  <c r="AM20" i="41"/>
  <c r="BD13" i="41"/>
  <c r="BH13" i="41" s="1"/>
  <c r="AS13" i="41"/>
  <c r="AM11" i="41"/>
  <c r="AM14" i="41" l="1"/>
  <c r="BG6" i="41"/>
  <c r="BL6" i="41" s="1"/>
  <c r="BD15" i="41"/>
  <c r="BH15" i="41" s="1"/>
  <c r="AW15" i="41"/>
  <c r="AX14" i="41"/>
  <c r="AS14" i="41"/>
  <c r="AN4" i="41"/>
  <c r="AM4" i="41" s="1"/>
  <c r="AW17" i="41"/>
  <c r="BD16" i="41"/>
  <c r="BH16" i="41" s="1"/>
  <c r="AS16" i="41"/>
  <c r="BC7" i="41"/>
  <c r="BM7" i="41" s="1"/>
  <c r="AW8" i="41"/>
  <c r="AM9" i="41"/>
  <c r="AW18" i="41"/>
  <c r="AM12" i="41"/>
  <c r="BD9" i="41"/>
  <c r="BH9" i="41" s="1"/>
  <c r="AS9" i="41"/>
  <c r="AW11" i="41"/>
  <c r="AW13" i="41"/>
  <c r="BD12" i="41"/>
  <c r="BH12" i="41" s="1"/>
  <c r="AS12" i="41"/>
  <c r="AW5" i="41"/>
  <c r="BC19" i="41"/>
  <c r="BM19" i="41" s="1"/>
  <c r="AW10" i="41"/>
  <c r="AW20" i="41"/>
  <c r="BG18" i="41" l="1"/>
  <c r="BL18" i="41" s="1"/>
  <c r="BG20" i="41"/>
  <c r="BL20" i="41" s="1"/>
  <c r="BG19" i="41"/>
  <c r="BG7" i="41"/>
  <c r="BG10" i="41"/>
  <c r="BL10" i="41" s="1"/>
  <c r="BG8" i="41"/>
  <c r="BL8" i="41" s="1"/>
  <c r="BD14" i="41"/>
  <c r="BH14" i="41" s="1"/>
  <c r="AW14" i="41"/>
  <c r="BC15" i="41"/>
  <c r="BM15" i="41" s="1"/>
  <c r="AW9" i="41"/>
  <c r="AW12" i="41"/>
  <c r="BC13" i="41"/>
  <c r="BM13" i="41" s="1"/>
  <c r="AW16" i="41"/>
  <c r="BC5" i="41"/>
  <c r="BM5" i="41" s="1"/>
  <c r="AX4" i="41"/>
  <c r="AW4" i="41" s="1"/>
  <c r="BC11" i="41"/>
  <c r="BM11" i="41" s="1"/>
  <c r="BC17" i="41"/>
  <c r="BM17" i="41" s="1"/>
  <c r="BC18" i="41"/>
  <c r="BM18" i="41" s="1"/>
  <c r="BC20" i="41"/>
  <c r="BM20" i="41" s="1"/>
  <c r="BC6" i="41"/>
  <c r="BC8" i="41"/>
  <c r="BM8" i="41" s="1"/>
  <c r="BC10" i="41"/>
  <c r="BM10" i="41" s="1"/>
  <c r="BC12" i="41"/>
  <c r="BM12" i="41" s="1"/>
  <c r="BL7" i="41" l="1"/>
  <c r="BK7" i="41" s="1"/>
  <c r="BM6" i="41"/>
  <c r="BK6" i="41" s="1"/>
  <c r="BL19" i="41"/>
  <c r="BK19" i="41" s="1"/>
  <c r="BK18" i="41"/>
  <c r="BK8" i="41"/>
  <c r="BK20" i="41"/>
  <c r="BK10" i="41"/>
  <c r="BG17" i="41"/>
  <c r="BG12" i="41"/>
  <c r="BG11" i="41"/>
  <c r="BG13" i="41"/>
  <c r="BG16" i="41"/>
  <c r="BL16" i="41" s="1"/>
  <c r="BG14" i="41"/>
  <c r="BG15" i="41"/>
  <c r="BD4" i="41"/>
  <c r="BC4" i="41" s="1"/>
  <c r="BM4" i="41" s="1"/>
  <c r="BC14" i="41"/>
  <c r="BM14" i="41" s="1"/>
  <c r="BC16" i="41"/>
  <c r="BM16" i="41" s="1"/>
  <c r="BG5" i="41"/>
  <c r="BC9" i="41"/>
  <c r="BM9" i="41" s="1"/>
  <c r="BL5" i="41" l="1"/>
  <c r="BK5" i="41" s="1"/>
  <c r="BL15" i="41"/>
  <c r="BK15" i="41" s="1"/>
  <c r="BL11" i="41"/>
  <c r="BK11" i="41" s="1"/>
  <c r="BL14" i="41"/>
  <c r="BK14" i="41" s="1"/>
  <c r="BL12" i="41"/>
  <c r="BK12" i="41" s="1"/>
  <c r="BL17" i="41"/>
  <c r="BK17" i="41" s="1"/>
  <c r="BL13" i="41"/>
  <c r="BK13" i="41" s="1"/>
  <c r="BK16" i="41"/>
  <c r="BG9" i="41"/>
  <c r="BH4" i="41"/>
  <c r="BL9" i="41" l="1"/>
  <c r="BK9" i="41" s="1"/>
  <c r="BG4" i="41"/>
  <c r="BL4" i="41" l="1"/>
  <c r="BK4" i="41" s="1"/>
</calcChain>
</file>

<file path=xl/sharedStrings.xml><?xml version="1.0" encoding="utf-8"?>
<sst xmlns="http://schemas.openxmlformats.org/spreadsheetml/2006/main" count="1027" uniqueCount="424">
  <si>
    <t>2017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</si>
  <si>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</si>
  <si>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</si>
  <si>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</si>
  <si>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</si>
  <si>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</si>
  <si>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</si>
  <si>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</si>
  <si>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</si>
  <si>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</si>
  <si>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</si>
  <si>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</si>
  <si>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</si>
  <si>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</si>
  <si>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</si>
  <si>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</si>
  <si>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</si>
  <si>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</si>
  <si>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Nazwa jednostki terytorialnej</t>
  </si>
  <si>
    <t>Ogółem</t>
  </si>
  <si>
    <t>Mikro</t>
  </si>
  <si>
    <t>Małe</t>
  </si>
  <si>
    <t>Średnie</t>
  </si>
  <si>
    <t>Duże</t>
  </si>
  <si>
    <t>Oznaczenie</t>
  </si>
  <si>
    <t>I</t>
  </si>
  <si>
    <t>II</t>
  </si>
  <si>
    <t>III</t>
  </si>
  <si>
    <t>IV</t>
  </si>
  <si>
    <t>V</t>
  </si>
  <si>
    <t>I-III kw. 2019</t>
  </si>
  <si>
    <t>Przedsiębiorstwa niefinansowe w 2017 r. (GUS)</t>
  </si>
  <si>
    <t>Szacowana liczba przedsiębiorstw niefinansowych w 2019</t>
  </si>
  <si>
    <t>Podmioty wyejestrowane wg wybranych sekcji PKD</t>
  </si>
  <si>
    <t>I-III 2019</t>
  </si>
  <si>
    <t>Podmioty nowo zarejestrowane wg wybranych sekcji PKD</t>
  </si>
  <si>
    <t>Podmioty nowopowstałe w latach 2015-2019 (netto)</t>
  </si>
  <si>
    <t>Zmiana w liczbie podmiotów do roku poprzedniego (2018/2017)</t>
  </si>
  <si>
    <t>Zmiana w liczbie podmiotów do roku poprzedniego (2019/2018)</t>
  </si>
  <si>
    <t>Szacowana liczba nowopowstałych przedsiębiorstw niefinansowych (netto) w 2020 r.</t>
  </si>
  <si>
    <t>Podmioty gospodarki narodowej REGON w 2017</t>
  </si>
  <si>
    <t>Podmioty gospodarki narodowej REGON w 2018</t>
  </si>
  <si>
    <t>Podmioty gospodarki narodowej REGON w 2019</t>
  </si>
  <si>
    <t>Podmioty gospodarki narodowej REGON w 2015</t>
  </si>
  <si>
    <t>Podmioty gospodarki narodowej REGON w 2016</t>
  </si>
  <si>
    <t>Zmiana w liczbie podmiotów do roku poprzedniego (2017/2016)</t>
  </si>
  <si>
    <t>Zmiana w liczbie podmiotów do roku poprzedniego (2016/2015)</t>
  </si>
  <si>
    <t>Szacowana zmiana w liczbie podmiotów w 2020 do roku 2019</t>
  </si>
  <si>
    <t>VI</t>
  </si>
  <si>
    <t>VII</t>
  </si>
  <si>
    <t>VIII</t>
  </si>
  <si>
    <t>IX</t>
  </si>
  <si>
    <t>X</t>
  </si>
  <si>
    <t>Szacowana liczba przedsiębiorstw niefinansowych w 2020</t>
  </si>
  <si>
    <t>Oznaczenie potrzeb inwestycyjnych</t>
  </si>
  <si>
    <t>2015-2018</t>
  </si>
  <si>
    <t>Zastąpienie istniejących budynków, maszyn i  urządzeń, IT</t>
  </si>
  <si>
    <t>Rozszerzenie zdolności produkcyjnych w zakresie istniejących produktów/usług</t>
  </si>
  <si>
    <t>Rozwój lub wprowadzanie nowych produktów, procesów, usług</t>
  </si>
  <si>
    <t>Brak planów inwestycyjnych</t>
  </si>
  <si>
    <t>Ogółem MŚP</t>
  </si>
  <si>
    <t>Planujący inwestycje, w tym:</t>
  </si>
  <si>
    <t>Udział przedsiębiorstw planujących inwestycje na najbliższe 3 lata (w %)</t>
  </si>
  <si>
    <t>Udział przedsiębiorstw planujących inwestycje na najbliższe 3 lata (w %) - średnio dla lat 2015-2018</t>
  </si>
  <si>
    <t>Szacowana liczba przedsiębiorstw niefinansowych w 2020 r. planujących inwestycje</t>
  </si>
  <si>
    <t>Razem</t>
  </si>
  <si>
    <t>MŚP</t>
  </si>
  <si>
    <t>2015-2019</t>
  </si>
  <si>
    <t>Wartość umów</t>
  </si>
  <si>
    <t>Koszty zarządzania</t>
  </si>
  <si>
    <t>Liczba pośredników</t>
  </si>
  <si>
    <t>Liczba - mikro</t>
  </si>
  <si>
    <t>Wartość - mikro</t>
  </si>
  <si>
    <t>Średnia mikro</t>
  </si>
  <si>
    <t>Liczba - małe</t>
  </si>
  <si>
    <t>Wartość - małe</t>
  </si>
  <si>
    <t>Średnia małe</t>
  </si>
  <si>
    <t>Liczba -średnie</t>
  </si>
  <si>
    <t>Wartość - średnie</t>
  </si>
  <si>
    <t>Średnia - średnie</t>
  </si>
  <si>
    <t>Liczba udzielonych ogółem</t>
  </si>
  <si>
    <t>Wartość udzielonych ogółem</t>
  </si>
  <si>
    <t>Średnia wartość ogółem</t>
  </si>
  <si>
    <t>Pożyczki wypłacone</t>
  </si>
  <si>
    <t>Ogółem MSP</t>
  </si>
  <si>
    <t>mln zł</t>
  </si>
  <si>
    <t>Szacowana liczba firm ubiegających się o kredyt</t>
  </si>
  <si>
    <t>Średni odsetek odrzuconych wniosków</t>
  </si>
  <si>
    <t xml:space="preserve">Szacowana średnia, roczna liczba nowopowstałych przedsiębiorstw niefinansowych (netto) </t>
  </si>
  <si>
    <t>Szacowana liczba nowopowstałych firm innowacyjnych w skali rynku (startup)</t>
  </si>
  <si>
    <t>Szacowana liczba startupów finansujących się środkami zewnętrznymi</t>
  </si>
  <si>
    <t>Szacowana liczba startupów zainteresowana finansowaniem kapitałowym</t>
  </si>
  <si>
    <t>Sposób wyliczenia: Na podstawie danych z SL2014, stan na 19.12.2019. Do wyliczeń uwzględniono działania / instrumenty finansowe dedykowane MŚP z przeznaczeniem na finansowanie inwestycji, OZE, B+R. Wyliczeń dokonano w poszczególnych kategoriach przedsiębiorstw.</t>
  </si>
  <si>
    <t>Wartość średniorocznie</t>
  </si>
  <si>
    <t xml:space="preserve">Przedsiębiorstwa niefinansowe w 2018 </t>
  </si>
  <si>
    <t>Nazwa</t>
  </si>
  <si>
    <t>PKB</t>
  </si>
  <si>
    <t>PKB (+ 4%)</t>
  </si>
  <si>
    <t>PKB (+3,4%)</t>
  </si>
  <si>
    <t>PKB (+5%)</t>
  </si>
  <si>
    <t>2018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</si>
  <si>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</si>
  <si>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</si>
  <si>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</si>
  <si>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</si>
  <si>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</si>
  <si>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</si>
  <si>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</si>
  <si>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</si>
  <si>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</si>
  <si>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</si>
  <si>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</si>
  <si>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</si>
  <si>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</si>
  <si>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</si>
  <si>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</si>
  <si>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</si>
  <si>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</si>
  <si>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Kredyt MŚP</t>
  </si>
  <si>
    <t>Finansowanie zew. Razem</t>
  </si>
  <si>
    <t>Dotacje MŚP</t>
  </si>
  <si>
    <t>leasing MŚP</t>
  </si>
  <si>
    <t>Inne MŚP</t>
  </si>
  <si>
    <t>Potrzeby B+R</t>
  </si>
  <si>
    <t>Kredyt Duże</t>
  </si>
  <si>
    <t>Dotacje Duże</t>
  </si>
  <si>
    <t>leasing Duże</t>
  </si>
  <si>
    <t>Inne Duże</t>
  </si>
  <si>
    <t>Rok</t>
  </si>
  <si>
    <t>Potrzeby obrotowe</t>
  </si>
  <si>
    <t>Potrzeby inwestycyjne</t>
  </si>
  <si>
    <t>Potrzeby inwestycyjno-obrotowe</t>
  </si>
  <si>
    <t xml:space="preserve">% zew. </t>
  </si>
  <si>
    <t>Prognozowane nakłady  (tys.)</t>
  </si>
  <si>
    <t>Szacowana liczba firm z odrzuconymi wnioskami</t>
  </si>
  <si>
    <t>Średni odsetek firm ubiegających się o kredyt</t>
  </si>
  <si>
    <t>2012-2019</t>
  </si>
  <si>
    <t>Odsetek firm deklarujących brak wystarczającego zabezpieczenia kredytu</t>
  </si>
  <si>
    <t>Mnożnik</t>
  </si>
  <si>
    <t>% wartości kredytu zabezpieczana gwarancją</t>
  </si>
  <si>
    <t>Szacowana wartość kredytu o jaką ubiegają się MŚP (w mln zł)</t>
  </si>
  <si>
    <t>Potencjalna wartość kredytów, w których występuje problem z zabezpieczeniem (w mln zł)</t>
  </si>
  <si>
    <t>Wartość kapitału niezbędnego do zapewnienia gwarancji dla kredytów, w których występuje problem z zabezpieczeniem (Luka gwarancji) w mln zł</t>
  </si>
  <si>
    <t>% zew.</t>
  </si>
  <si>
    <t>Szacowana wartość nieotrzymanego kredytu (w mln zł)</t>
  </si>
  <si>
    <t xml:space="preserve">Szacowana liczba firm mająca problem z zabezpieczeniem </t>
  </si>
  <si>
    <t>Luka pożyczek (mln zł)</t>
  </si>
  <si>
    <t>Luka finansowania dłużnego (mln zł)</t>
  </si>
  <si>
    <t>% finansowany kredytem</t>
  </si>
  <si>
    <t>Nakłady łącznie (w mln zł)</t>
  </si>
  <si>
    <t xml:space="preserve">% odrzuconych </t>
  </si>
  <si>
    <t>% problem z zabezpieczeniem</t>
  </si>
  <si>
    <t>% zabezpieczenia kredytu</t>
  </si>
  <si>
    <t>Pożyczki</t>
  </si>
  <si>
    <t>Gwarancje</t>
  </si>
  <si>
    <t>Szacowana luka gwarancji (mln zł)</t>
  </si>
  <si>
    <t>Szacowana luka pożyczek (mln zł)</t>
  </si>
  <si>
    <t>Szacowana luka finansowania dłużnego (mln zł)</t>
  </si>
  <si>
    <t>Szacunkowa wartość kredytu (mln zł)</t>
  </si>
  <si>
    <t>Odsetek firm innowacyjnych w skali rynku</t>
  </si>
  <si>
    <t>Odsetek startupów korzystajacy z finansowania zewnętrznego</t>
  </si>
  <si>
    <t>Odsetek startupów zainteresowanych finansowaniem kapitałowym</t>
  </si>
  <si>
    <t>Szacowany odsetek startupów w fazie wzrostu</t>
  </si>
  <si>
    <t xml:space="preserve">Liczba startupów - faza wzrostu </t>
  </si>
  <si>
    <t>Liczba startupów - faza wczesna</t>
  </si>
  <si>
    <t>Średnia wielkość inwestycji w fazie wzrostu (tys zł)</t>
  </si>
  <si>
    <t>Średnia wielkość inwestycji - wczesna faza (tys. zł)</t>
  </si>
  <si>
    <t>Zapotrzebowanie na finansowanie kapitałowe- faza wzrostu (mln zł)</t>
  </si>
  <si>
    <t>Zapotrzebowanie na finansowanie kapitałowe- wczesna faza (mln zł)</t>
  </si>
  <si>
    <t>Odsetek startupów uzyskujący finansowanie kapitałowe</t>
  </si>
  <si>
    <t>Liczba startupów, które pozyskają finansowanie - faza wzrostu</t>
  </si>
  <si>
    <t>Liczba startupów, które pozyskają finansowania - wczesna faza</t>
  </si>
  <si>
    <t>Uzsykane finansowanie (faza wczesna) mln zł</t>
  </si>
  <si>
    <t>Uzyskane finansowanie (faza wzrostu) mln zł</t>
  </si>
  <si>
    <t>Luka w dostępie do finansowania - wczesna faza (mln zł)</t>
  </si>
  <si>
    <t>Luka w dostępie do finansowania - faza wzrostu (mln zł)</t>
  </si>
  <si>
    <t>Kuka kapitałowa łącznie 2020</t>
  </si>
  <si>
    <t>PKB (+5%)2</t>
  </si>
  <si>
    <t>PKB (+5%)3</t>
  </si>
  <si>
    <t>PKB (+5%)4</t>
  </si>
  <si>
    <t>PKB (+5%)5</t>
  </si>
  <si>
    <t>PKB (+5%)6</t>
  </si>
  <si>
    <t>PKB (+5%)7</t>
  </si>
  <si>
    <t>PKB (+5%)8</t>
  </si>
  <si>
    <t>PKB (+5%)9</t>
  </si>
  <si>
    <t>PKB (+5%)10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</si>
  <si>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</si>
  <si>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</si>
  <si>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</si>
  <si>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</si>
  <si>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</si>
  <si>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</si>
  <si>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</si>
  <si>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</si>
  <si>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</si>
  <si>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</si>
  <si>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</si>
  <si>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</si>
  <si>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Udział nakładów B+R w relacji do PKB w 2019 i 2020, analogiczny jak w 2018</t>
  </si>
  <si>
    <t>Udział nakładów B+R w relacji do PKB w 2021 i latach kolejnych powiększony o 0,05%</t>
  </si>
  <si>
    <t>https://stat.gov.pl/obszary-tematyczne/nauka-i-technika-spoleczenstwo-informacyjne/nauka-i-technika/dzialalnosc-badawcza-i-rozwojowa-w-polsce-w-2018-roku,15,3.html)</t>
  </si>
  <si>
    <t>Nakłady na rzeczowe aktywa trwałe w 2018 - Ogółem (w tys. zł)</t>
  </si>
  <si>
    <t>Nakłady na kapitał obrotowy w 2018 - Ogółem (w tys. zł)</t>
  </si>
  <si>
    <t>MŚP2</t>
  </si>
  <si>
    <t>Mikro2</t>
  </si>
  <si>
    <t>Małe2</t>
  </si>
  <si>
    <t>Średnie2</t>
  </si>
  <si>
    <t>Duże2</t>
  </si>
  <si>
    <t>Nakłady na B+R w 2018 - Ogółem (w tys. zł)</t>
  </si>
  <si>
    <t>MŚP3</t>
  </si>
  <si>
    <t>Mikro3</t>
  </si>
  <si>
    <t>Małe3</t>
  </si>
  <si>
    <t>Średnie3</t>
  </si>
  <si>
    <t>Duże3</t>
  </si>
  <si>
    <t>Nakłady razem w 2018 - Ogółem (w tys. zł)</t>
  </si>
  <si>
    <t>MŚP4</t>
  </si>
  <si>
    <t>Mikro4</t>
  </si>
  <si>
    <t>Małe4</t>
  </si>
  <si>
    <t>Średnie4</t>
  </si>
  <si>
    <t>Duże4</t>
  </si>
  <si>
    <t>Odsetek przedsiębiorst w nakładach w 2018 - Ogółem (w tys. zł)</t>
  </si>
  <si>
    <t>MŚP5</t>
  </si>
  <si>
    <t>Mikro5</t>
  </si>
  <si>
    <t>Małe5</t>
  </si>
  <si>
    <t>Średnie5</t>
  </si>
  <si>
    <t>Duże5</t>
  </si>
  <si>
    <t>Szacowane nakłady na rzeczowe aktywa trwałe w 2019 - Ogółem (w tys. zł)</t>
  </si>
  <si>
    <t>MŚP6</t>
  </si>
  <si>
    <t>Mikro6</t>
  </si>
  <si>
    <t>Małe6</t>
  </si>
  <si>
    <t>Średnie6</t>
  </si>
  <si>
    <t>Duże6</t>
  </si>
  <si>
    <t>Prognozowane nakłady na rzeczowe aktywa trwałe w 2020 - Ogółem (w tys. zł)</t>
  </si>
  <si>
    <t>MŚP7</t>
  </si>
  <si>
    <t>Mikro7</t>
  </si>
  <si>
    <t>Małe7</t>
  </si>
  <si>
    <t>Średnie7</t>
  </si>
  <si>
    <t>Duże7</t>
  </si>
  <si>
    <t>MŚP8</t>
  </si>
  <si>
    <t>Mikro8</t>
  </si>
  <si>
    <t>Małe8</t>
  </si>
  <si>
    <t>Średnie8</t>
  </si>
  <si>
    <t>Duże8</t>
  </si>
  <si>
    <t>Nakłady na B+R w 2019 - Ogółem (w tys. zł)</t>
  </si>
  <si>
    <t>MŚP9</t>
  </si>
  <si>
    <t>Mikro9</t>
  </si>
  <si>
    <t>Małe9</t>
  </si>
  <si>
    <t>Średnie9</t>
  </si>
  <si>
    <t>Duże9</t>
  </si>
  <si>
    <t>Nakłady na B+R w 2020 - Ogółem  (w tys. zł)</t>
  </si>
  <si>
    <t>MŚP10</t>
  </si>
  <si>
    <t>Mikro10</t>
  </si>
  <si>
    <t>Małe10</t>
  </si>
  <si>
    <t>Średnie10</t>
  </si>
  <si>
    <t>Duże10</t>
  </si>
  <si>
    <t>Nakłady łącznie w 2020 - Ogółem (w tys. zł)</t>
  </si>
  <si>
    <t>MŚP11</t>
  </si>
  <si>
    <t>Mikro11</t>
  </si>
  <si>
    <t>Małe11</t>
  </si>
  <si>
    <t>Średnie11</t>
  </si>
  <si>
    <t>Duże11</t>
  </si>
  <si>
    <t>Nakłady na rzeczowe aktywa trwałe w 2018 r. w sektorze przedsiębiorstw niefinansowych wyliczono w oparciu o GUS,  https://stat.gov.pl/obszary-tematyczne/podmioty-gospodarcze-wyniki-finansowe/przedsiebiorstwa-niefinansowe/dzialalnosc-przedsiebiorstw-niefinansowych-w-2018-roku,2,15.html, (Plik xlsx, tabela 13)</t>
  </si>
  <si>
    <t>Nakłady na kapitał obrotowy w 2018 wyliczono w oparciu o GUS (https://stat.gov.pl/obszary-tematyczne/podmioty-gospodarcze-wyniki-finansowe/przedsiebiorstwa-niefinansowe/wyniki-finansowe-podmiotow-gospodarczych-i-vi-2019,11,21.html (tabela 07), oraz NBP (https://www.nbp.pl/home.aspx?f=/statystyka/pieniezna_i_bankowa/naleznosci.html (kredyty DP, MSP))</t>
  </si>
  <si>
    <t>Nakłady na B+R w 2018 r. ogółem wyliczono w oparciu o GUS, https://bdl.stat.gov.pl/BDL/metadane/cechy/2750?back=True, podział wg wielkości firm - na podstawie GUS: https://stat.gov.pl/obszary-tematyczne/nauka-i-technika-spoleczenstwo-informacyjne/nauka-i-technika/dzialalnosc-badawcza-i-rozwojowa-w-polsce-w-2018-roku,15,3.html; nakłady mikro stanowiły 2,6%, małych - 9,9%, średnich - 20,7%, dużych - 66, 8%</t>
  </si>
  <si>
    <t>Nakłady razem w 2018 r. wliczono jako sumę nakładów na rzeczowe aktywa trwałe, kapitał obrotowy i B+R w 2018 r.</t>
  </si>
  <si>
    <t>Szacowane nakłady na rzeczowe aktywa trwałe w 2019 r. wyliczono bazując na nakładach z 2018 r. w poszczególnych grupach przedsiębiorstw, które zostały powiększone o szacowany wzrost nakładów inwestycyjnych na 2019 r. w wysokości 6,6% (wg. Dziennik Gazeta Prawna, Nr 1, 02.01.2020 r., s. A4)</t>
  </si>
  <si>
    <t>Szacowane nakłady na rzeczowe aktywa trwałe w 2020 r. wyliczono bazując na nakładach z 2019 r. w poszczególnych grupach przedsiębiorstw, które zostały powiększone o szacowany wzrost nakładów inwestycyjnych na 2020 r. w wysokości 2,68% (wg. Puls Biznesu, Nr 1, 02.01.2020 r., s. 2-3)</t>
  </si>
  <si>
    <t>Szacowane nakłady na kapitał obrotowy w 2020 obliczono wykorzystując wskaźnik analogiczny jak dla 2018 r. tj. nakłady obrotowe stanowią 40% nakładów ogółem (wyliczenie: nakładyna aktywa trwałe *40/60)</t>
  </si>
  <si>
    <t xml:space="preserve">Dane PKB za 2018 r. na podstawie GUS BDL: </t>
  </si>
  <si>
    <t xml:space="preserve">https://bdl.stat.gov.pl/BDL/metadane/podgrupy/554?back=True  </t>
  </si>
  <si>
    <t xml:space="preserve">Dane PKB na 2019 na podstawie informacji sygnalnej GUS: </t>
  </si>
  <si>
    <t>https://stat.gov.pl/obszary-tematyczne/rachunki-narodowe/roczne-rachunki-narodowe/produkt-krajowy-brutto-w-2019-roku-szacunek-wstepny,2,9.html</t>
  </si>
  <si>
    <t>https://stat.gov.pl/wskazniki-makroekonomiczne/</t>
  </si>
  <si>
    <t>Dane PKB na lata 2021-2030, wyliczono jako średnioroczny wzrost dla lat 2014-2020 w oparciu o dane GUS - roczne wskaźniki makroekonomiczne (rachunki narodowe):</t>
  </si>
  <si>
    <t>Udział nakładów B+R w relacji do PKB w 2018 na podstawie GUS:</t>
  </si>
  <si>
    <t>Nakłady na kapitał obrotowy w 2020 - Ogółem (w tys. zł)</t>
  </si>
  <si>
    <t>Szacowane nakłady na B+R w 2019 r. i 2020 r. wyliczono na podstawie zakładki 5.1.1 Nakłady na B+R; wartość w podziale na wielkość firm wyliczono wg. GUS (Działalność B+R w Polsce) jako średnia dla lat 2017-2018, która wynosi dla mikro- 2,82%, małe - 9,69%, średnie - 21,54%, duże 65,95%.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</si>
  <si>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</si>
  <si>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</si>
  <si>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</si>
  <si>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</si>
  <si>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</si>
  <si>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</si>
  <si>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</si>
  <si>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</si>
  <si>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</si>
  <si>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Kolumna10</t>
  </si>
  <si>
    <t>Kolumna11</t>
  </si>
  <si>
    <t>Kolumna12</t>
  </si>
  <si>
    <t>Kolumna13</t>
  </si>
  <si>
    <t>Kolumna14</t>
  </si>
  <si>
    <t>Kolumna15</t>
  </si>
  <si>
    <t>Kolumna16</t>
  </si>
  <si>
    <t>Kolumna17</t>
  </si>
  <si>
    <t>Kolumna18</t>
  </si>
  <si>
    <t>Kolumna19</t>
  </si>
  <si>
    <t>Kolumna20</t>
  </si>
  <si>
    <t xml:space="preserve">Nakłady na rzeczowe aktywa trwałe - Ogółem (w mln zł) </t>
  </si>
  <si>
    <t>Nakłady na kapitał obrotowy - Ogółem (mln zł)</t>
  </si>
  <si>
    <t>Nakłady na B+R - Ogółem  (mln zł)</t>
  </si>
  <si>
    <t xml:space="preserve">Nakłady łącznie - Ogółem (mln zł) </t>
  </si>
  <si>
    <t>Nakłady na rzeczowe aktywa trwałe w 2020 r. obliczono na podstawie zakładki 5.1.1 Nakłady razem. Wyliczenia na lata kolejne na podstawie roku poprzedniego powiększonego o średni 6% wzrost.</t>
  </si>
  <si>
    <t>Nakłady na B+R wyliczono analogicznie jak w zakładce 5.1.1 Nakłady razem w zakresie nakładów na B+R</t>
  </si>
  <si>
    <t xml:space="preserve">Nakłady na kapitał obrotowy wyliczono analogicznie jak w zakładce 5.1.1 Nakłady razem w zakresie szacowanego kapitału obrotowego </t>
  </si>
  <si>
    <t>Potrzeby Inw. MŚP (mln zł)</t>
  </si>
  <si>
    <t>Potrzeby Inw. Duże (mln zł)</t>
  </si>
  <si>
    <t>Potrzeby Inw. Razem (mln zł)</t>
  </si>
  <si>
    <t>Potrzeby Obrotowe MŚP (mln zł)</t>
  </si>
  <si>
    <t>Potrzeby Obrotowe Duże (mln zł)</t>
  </si>
  <si>
    <t>Potrzeby Obrotowe Razem (mln zł)</t>
  </si>
  <si>
    <t>Potrzeby inw-obr. MŚP (mln zł)</t>
  </si>
  <si>
    <t>Potrzeby inw-obr. Duże (mln zł)</t>
  </si>
  <si>
    <t>Potrzeby inw-obr. Razem (mln zł)</t>
  </si>
  <si>
    <t>Potrzeby B+R MŚP (mln zł)</t>
  </si>
  <si>
    <t>Potrzeby B+R Duże (mln zł)</t>
  </si>
  <si>
    <t>Potrzeby B+R Razem (mln zł)</t>
  </si>
  <si>
    <t>Łączne potrzeby MŚP (mln zł)</t>
  </si>
  <si>
    <t>Łączne potrzeby Duże (mln zł)</t>
  </si>
  <si>
    <t>Łączne potrzeby Razem (mln zł)</t>
  </si>
  <si>
    <t>Finansowanie zew. inw-obr. (29%) MŚP</t>
  </si>
  <si>
    <t>Finansowanie zew. inw-obr. (29%) Duże</t>
  </si>
  <si>
    <t>Finansowanie zew. inw-obr. (29%) Razem</t>
  </si>
  <si>
    <t>Finansowanie zew. B+R (23%) MŚP</t>
  </si>
  <si>
    <t>Finansowanie zew. B+R (23%) Duże</t>
  </si>
  <si>
    <t>Finansowanie zew. B+R (23%) Razem</t>
  </si>
  <si>
    <t>Finansowanie zew. Razem MŚP (mln zł)</t>
  </si>
  <si>
    <t>Finansowanie zew. Razem Duże (mln zł)</t>
  </si>
  <si>
    <t>Finansowanie zew. Razem Razem (mln zł)</t>
  </si>
  <si>
    <t>Potrzeby inwestycyjne na 2020 wyliczono na podstawie zakładki 5.1.1 Nakłady razem.</t>
  </si>
  <si>
    <t>Odsetek źródeł finansowania zewnętrznego nakładów inwestycyjnych wyliczono w oparciu o GUS BDL, dane średnie za okres 2010-2018: https://bdl.stat.gov.pl/BDL/metadane/podgrupy/539?back=True</t>
  </si>
  <si>
    <t>Odsetek źródeł finansowania zewnętrznego nakładów B+R wyliczono w oparciu o GUS BDL, dane średnie za okres 2010-2018: https://bdl.stat.gov.pl/BDL/metadane/cechy/2750?back=True</t>
  </si>
  <si>
    <t>Dane na temat udziału kredytów, dotacji, leasingu i innych form wyliczono w oparciu o średnie dane EBI dla lat 2015-2018: https://data.eib.org/eibis/graph</t>
  </si>
  <si>
    <t>Wartość średniorocznie2</t>
  </si>
  <si>
    <t>Wartość średniorocznie3</t>
  </si>
  <si>
    <t>Wartość średniorocznie4</t>
  </si>
  <si>
    <t>Kolumna21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</si>
  <si>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</si>
  <si>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</si>
  <si>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</si>
  <si>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</si>
  <si>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</si>
  <si>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</si>
  <si>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</si>
  <si>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</si>
  <si>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</si>
  <si>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</si>
  <si>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Udział przedsiębiorstw planujących inwestycje na najbliższe 3 lata (w %)6</t>
  </si>
  <si>
    <t>Udział przedsiębiorstw planujących inwestycje na najbliższe 3 lata (w %)12</t>
  </si>
  <si>
    <t>Udział przedsiębiorstw planujących inwestycje na najbliższe 3 lata (w %)18</t>
  </si>
  <si>
    <t>Sposób wyliczenia na podstawie EIB Investment Survey: https://data.eib.org/eibis/graph, Topic (temat):Investment needs (potrzeby inwestycyjne; Indicator (wskaźnik): Firms' investment priority for the next three years (priorytety inwestycyjne firm na kolejne 3 lata); Comparison type (sposób porównania): Within country (w obrębie kraju); Country (kraj): Poland (Polska); Year (rok): 2015; Comparator (porównanie): Firm size (rozmiar firmy). Wartości procentowe prezentowane na wykresie graficznym.</t>
  </si>
  <si>
    <t xml:space="preserve">Potrzeby B+R </t>
  </si>
  <si>
    <t>Potrzeby B+R2</t>
  </si>
  <si>
    <t xml:space="preserve">Finansowanie zew. B+R </t>
  </si>
  <si>
    <t>Finansowanie zew. B+R 2</t>
  </si>
  <si>
    <t>Finansowanie zew. B+R 3</t>
  </si>
  <si>
    <t>Potrzeby obrotowe2</t>
  </si>
  <si>
    <t>Potrzeby obrotowe3</t>
  </si>
  <si>
    <t>Potrzeby inwestycyjne2</t>
  </si>
  <si>
    <t>Potrzeby inwestycyjne3</t>
  </si>
  <si>
    <t>Potrzeby inwestycyjno-obrotowe2</t>
  </si>
  <si>
    <t>Potrzeby inwestycyjno-obrotowe3</t>
  </si>
  <si>
    <t>Finansowanie zew. (inw.-obr)</t>
  </si>
  <si>
    <t>Finansowanie zew. (inw.-obr)2</t>
  </si>
  <si>
    <t>Finansowanie zew. (inw.-obr)3</t>
  </si>
  <si>
    <t>Finansowanie zew. Razem2</t>
  </si>
  <si>
    <t>Finansowanie zew. Razem3</t>
  </si>
  <si>
    <t>Dane w mln zł</t>
  </si>
  <si>
    <t>Dane dotyczące % finansowania zewnętrznego na podstawie zakładki 5.1.2 Fin. zew_woj</t>
  </si>
  <si>
    <t>Kolumna32</t>
  </si>
  <si>
    <t>Kolumna33</t>
  </si>
  <si>
    <t>Kolumna34</t>
  </si>
  <si>
    <t>Kolumna35</t>
  </si>
  <si>
    <t>Kolumna36</t>
  </si>
  <si>
    <t>Kolumna37</t>
  </si>
  <si>
    <t>Kolumna38</t>
  </si>
  <si>
    <t>Kolumna39</t>
  </si>
  <si>
    <t>Kolumna40</t>
  </si>
  <si>
    <t>Liczba podmiotów gospodarki narodowej wpisana do REGON w latach 2015-2019 wyliczona w oparciu o GUS: https://bdl.stat.gov.pl/BDL/metadane/cechy/2613</t>
  </si>
  <si>
    <t>Zmiana w liczbie podmiotów w poszczególnych kategoriach do roku poprzedniego wyliczono jako: Liczba podmiotów gospodarki narodowej w danym roku r. w danej kategorii / liczba podmiotów gospodarki narodowej w roku poprzednim. w tej samej kategorii *100</t>
  </si>
  <si>
    <t>Liczba podmiotów nowo zarejestrowanych w rejestrze REGON zsumowana wg sekcji właściwych dla przedsiębiorstw niefinansowych tj. B-J, L-N, P-S - wg GUS: https://bdl.stat.gov.pl/BDL/metadane/cechy/3002</t>
  </si>
  <si>
    <t>Liczba podmiotów wyrejestrowanych z rejestru REGON zsumowana wg sekcji właściwych dla przedsiębiorstw niefinansowych tj. B-J, L-N, P-S  wg. GUS: https://bdl.stat.gov.pl/BDL/metadane/cechy/3003</t>
  </si>
  <si>
    <t>Liczba podmiotów nowopowstałych (niefinansowych) netto w poszczególnych latach - Sposób wyliczenia: podmioty nowo zarejestrowane - podmioty wyrejestrowane w poszczególnych latach</t>
  </si>
  <si>
    <t>Szacowana liczba nowopowstałych przedsiębiorstw niefinansowych (netto) w 2020 r. - Sposób wyliczenia: średnia liczba podmiotów nowopowstałych (netto) dla lat 2015-2019</t>
  </si>
  <si>
    <t>Liczba przedsiębiorstw niefinansowych w 2018 r. - wg GUS: https://stat.gov.pl/obszary-tematyczne/podmioty-gospodarcze-wyniki-finansowe/przedsiebiorstwa-niefinansowe/dzialalnosc-przedsiebiorstw-niefinansowych-w-2018-roku,2,15.html (arkusz xls, tabela 9.)</t>
  </si>
  <si>
    <t xml:space="preserve">Szacowana liczba przedsiębiorstw niefinansowych w 2019: Sposób wyliczenia: przy wyliczeniu szacunkowej liczby przedsiębiorstw uwzględniono podmioty nowopowstałe netto w roku 2019 (zakładka Przedsiębiorstwa nowopowst., oznaczenie kolumn III) oraz tendencję w zmianie liczby podmiotów w poszczególnych kategoriach do roku poprzedniego (zakładka Podmioty REGON, oznaczenie kolumn IX). Z uwagi na fakt, że w kategorii mikro firm tendencja jest zawsze wzrostowa, a w kategorii małe, średnie i duże dominuje tendencja spadkowa w pierwszej kolejności wyliczono wielkość dla małych, średnich i dużych firm mnożąc ich wartość z roku 2018 przez procentowy współczynnik zmiany w liczbie podmiotów dla lat 2019/2018. Wielkość dla mikroprzedsiębiorstw obliczono jako: (Suma liczby przedsiębiorstw ogółem w 2018 oraz liczby nowopowstałych podmiotów netto w 2019) minus (Suma liczby małych, średnich i dużych firm w 2019). </t>
  </si>
  <si>
    <t xml:space="preserve">Szacowana liczba przedsiębiorstw niefinansowych w 2020: Sposób wyliczenia: przy wyliczeniu szacunkowej liczby przedsiębiorstw uwzględniono szacowaną liczbę podmiotów nowopowstałych netto w roku 2020 (zakładka Przedsiębiorstwa nowopowst., oznaczenie kolumn IV) oraz szacowaną tendencję w zmianie liczby podmiotów w poszczególnych kategoriach w roku 2020 do roku poprzedniego (zakładka Podmioty REGON, oznaczenie kolumn X). Z uwagi na fakt, że w kategorii mikro firm tendencja jest zawsze wzrostowa, a w kategorii małe, średnie i duże dominuje tendencja spadkowa w pierwszej kolejności wyliczono wielkość dla małych, średnich i dużych firm mnożąc ich wartość z roku 2019 przez szacowany procentowy współczynnik zmiany w liczbie podmiotów dla lat 2020/2019. Wielkość dla mikroprzedsiębiorstw obliczono jako: (Suma liczby przedsiębiorstw ogółem w 2019 oraz szacowanej liczby nowopowstałych podmiotów netto w 2020) minus (Suma liczby małych, średnich i dużych firm w 2020). </t>
  </si>
  <si>
    <t xml:space="preserve">Nakłady jednostkowe Mikro (tys. zł) </t>
  </si>
  <si>
    <t xml:space="preserve">Nakłady jednostkowe Średnie (tys. zł) </t>
  </si>
  <si>
    <t>Nakłady jednostkowe Małe (tys. zł)</t>
  </si>
  <si>
    <t>Odsetek ubiegających się o kredyt</t>
  </si>
  <si>
    <t>Średni odsetek mikro planujących inwestycje</t>
  </si>
  <si>
    <t>Odsetek mikro planujących inwestycje</t>
  </si>
  <si>
    <t>Średni odsetek małych planujących inwestycje</t>
  </si>
  <si>
    <t>Odsetek małych planujących inwestycje</t>
  </si>
  <si>
    <t>Średni odsetek średnich firm planujących inwestycje</t>
  </si>
  <si>
    <t>Odsetek średnich firm planujących inwestycje</t>
  </si>
  <si>
    <t>Odsetek odrzuconych wniosków</t>
  </si>
  <si>
    <t>Średni odsetek firm deklarujących brak wystarczającego zabezpieczenia kredytu</t>
  </si>
  <si>
    <t>Szacowana luka finansowania dłużnego (mln zł)16</t>
  </si>
  <si>
    <t>Wyliczenia przedstawiono dla roku 2020 r.</t>
  </si>
  <si>
    <t>Szacowana średnia, roczna liczba nowopowstałych przedsiębiorstw niefinansowych (netto) - wyliczenia na podstawie zakładki 5.1.3 Przeds. Nowopowst.</t>
  </si>
  <si>
    <t>Odsetek firm innowacyjnych w skali rynku - sposób wyliczenia - na podstawie PARP Monitoring innowacyjności polskich przedsiębiorstw ( s. 24) https://www.parp.gov.pl/component/publications/publication/monitoring-innowacyjnosci-polskich-przedsiebiorstw-wyniki-ii-edycji-badania-2019</t>
  </si>
  <si>
    <t>Szacowana liczba startupów finansujących się środkami zewnętrznymi, Szacowana liczba startupów zainteresowana pozyskaniem finansowania kapitałowego oraz szacowany odsetek startupów w fazie wzrostu - wyliczone na podstawie Startup Poland 2015-2018; https://www.home.startuppoland.org/#reports</t>
  </si>
  <si>
    <t xml:space="preserve">Wartość i liczba transakcji na rynku venture capital w Polsce z podziałem na fundusze prywatne i fundusze z udziałem środków publicznych - wg. PRF Ventures, Inovo 2020; https://pfrventures.pl/media/uploads/raport_o_transakcjach_vc_2019.pdf  </t>
  </si>
  <si>
    <t>%</t>
  </si>
  <si>
    <t>Odsetek zapotrzebowania na finansowanie kapitałowe - faza wzrostu</t>
  </si>
  <si>
    <t>Odsetek zapotrzebowania na finansowanie kapitałowe - faza wczesna</t>
  </si>
  <si>
    <t>Watość zapotrzebowania - faza wzrostu</t>
  </si>
  <si>
    <t>Watość zapotrzebowania - faza wzrostu2</t>
  </si>
  <si>
    <t>Odsetek uzyskujących finansowanie</t>
  </si>
  <si>
    <t>Uzyskane finansowanie - faza wzrostu</t>
  </si>
  <si>
    <t>Uzyskane finansowanie - faza wczesna</t>
  </si>
  <si>
    <t>Luka kapitałowa - faza wzrostu</t>
  </si>
  <si>
    <t>Luka kapitałowa - faza wczesna</t>
  </si>
  <si>
    <t>Odsetek zapotrzebowania na finansowanie kapitałowe obliczono jako wartość zapotrzebowania na rok 2020 / Nakłady łącznie MŚP</t>
  </si>
  <si>
    <t>Nakłady łącznie MŚP (w mln zł)</t>
  </si>
  <si>
    <t>Wyliczenia w oparciu o z dane z zakładki 5.1.4 Luka kapitał oraz 5.1.1 Nakłady razem</t>
  </si>
  <si>
    <t>Luka kapitałowa - razem</t>
  </si>
  <si>
    <t>Szacowana liczba przedsiębiorstw niefinansowych - na podstawie zakładki 5.1.3 Przeds. Niefinansowe</t>
  </si>
  <si>
    <t>Odsetek oraz średni odsetek firm planujących inwestycje - na podstawie zakładki 5.1.3  Plany inwestycyjne</t>
  </si>
  <si>
    <t>Prognozowane nakłady - na podstawie zakładki - 5.1.1 Nakłady razem</t>
  </si>
  <si>
    <t>Odsetek i średni odsetek firm ubiegających się o kredyt oraz odsetek i średni odsetek odrzuconych wniosków - na podstawie NBP: https://www.nbp.pl/home.aspx?c=/ascx/koniunktura_prezentacja.ascx</t>
  </si>
  <si>
    <t>Odsetek i średni odsetek firm deklarującychbrak odpowiedniech zabezpieczenia kredytu - na podstawie BGK:https://www.bgk.pl/przedsiebiorstwa/poreczenia-i-gwarancje/gwarancje-de-minimis/ (Zakładka Analizy i badania)</t>
  </si>
  <si>
    <t>Wartość mnożnika wyliczono na podstawie KSFP: https://ksfp.org.pl/publikacje/raporty/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</si>
</sst>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_-* #,##0\ _z_ł_-;\-* #,##0\ _z_ł_-;_-* &quot;-&quot;??\ _z_ł_-;_-@_-"/>
    <numFmt numFmtId="165" formatCode="0.0%"/>
    <numFmt numFmtId="166" formatCode="_-* #,##0.0\ _z_ł_-;\-* #,##0.0\ _z_ł_-;_-* &quot;-&quot;??\ _z_ł_-;_-@_-"/>
  </numFmts>
  <fonts count="17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5"/>
      <color theme="3"/>
      <name val="Calibri"/>
      <family val="2"/>
      <charset val="238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4472C4"/>
      </left>
      <right style="medium">
        <color rgb="FF4472C4"/>
      </right>
      <top style="medium">
        <color rgb="FF4472C4"/>
      </top>
      <bottom style="thick">
        <color rgb="FF4472C4"/>
      </bottom>
      <diagonal/>
    </border>
    <border>
      <left/>
      <right style="medium">
        <color rgb="FF4472C4"/>
      </right>
      <top style="medium">
        <color rgb="FF4472C4"/>
      </top>
      <bottom style="thick">
        <color rgb="FF4472C4"/>
      </bottom>
      <diagonal/>
    </border>
    <border>
      <left style="medium">
        <color rgb="FF4472C4"/>
      </left>
      <right style="medium">
        <color rgb="FF4472C4"/>
      </right>
      <top/>
      <bottom style="medium">
        <color rgb="FF4472C4"/>
      </bottom>
      <diagonal/>
    </border>
    <border>
      <left/>
      <right style="medium">
        <color rgb="FF4472C4"/>
      </right>
      <top/>
      <bottom style="medium">
        <color rgb="FF4472C4"/>
      </bottom>
      <diagonal/>
    </border>
    <border>
      <left/>
      <right/>
      <top/>
      <bottom style="medium">
        <color rgb="FF4472C4"/>
      </bottom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 style="thick">
        <color theme="4"/>
      </bottom>
      <diagonal/>
    </border>
    <border>
      <left/>
      <right style="thin">
        <color indexed="64"/>
      </right>
      <top/>
      <bottom/>
      <diagonal/>
    </border>
    <border>
      <left style="medium">
        <color rgb="FF4472C4"/>
      </left>
      <right style="medium">
        <color rgb="FF4472C4"/>
      </right>
      <top/>
      <bottom/>
      <diagonal/>
    </border>
    <border>
      <left/>
      <right style="medium">
        <color rgb="FF4472C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0">
    <xf numFmtId="0" fontId="0" fillId="0" borderId="0"/>
    <xf numFmtId="0" fontId="2" fillId="2" borderId="1">
      <alignment horizontal="left" vertical="center" wrapText="1"/>
    </xf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11" fillId="0" borderId="30" applyNumberFormat="0" applyFill="0" applyAlignment="0" applyProtection="0"/>
  </cellStyleXfs>
  <cellXfs count="271">
    <xf numFmtId="0" fontId="0" fillId="0" borderId="0" xfId="0"/>
    <xf numFmtId="0" fontId="0" fillId="0" borderId="4" xfId="0" applyBorder="1"/>
    <xf numFmtId="0" fontId="0" fillId="0" borderId="0" xfId="0" applyAlignment="1">
      <alignment horizontal="center"/>
    </xf>
    <xf numFmtId="0" fontId="0" fillId="0" borderId="0" xfId="0" applyBorder="1"/>
    <xf numFmtId="9" fontId="2" fillId="0" borderId="4" xfId="1" applyNumberFormat="1" applyFont="1" applyFill="1" applyBorder="1" applyAlignment="1">
      <alignment horizontal="center" vertical="center" wrapText="1"/>
    </xf>
    <xf numFmtId="9" fontId="0" fillId="0" borderId="16" xfId="3" applyNumberFormat="1" applyFont="1" applyBorder="1" applyAlignment="1">
      <alignment horizontal="right" vertical="center"/>
    </xf>
    <xf numFmtId="9" fontId="0" fillId="0" borderId="18" xfId="3" applyNumberFormat="1" applyFont="1" applyBorder="1" applyAlignment="1">
      <alignment horizontal="right" vertical="center"/>
    </xf>
    <xf numFmtId="9" fontId="0" fillId="0" borderId="4" xfId="3" applyNumberFormat="1" applyFont="1" applyBorder="1" applyAlignment="1">
      <alignment horizontal="right" vertical="center"/>
    </xf>
    <xf numFmtId="9" fontId="0" fillId="0" borderId="6" xfId="3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164" fontId="0" fillId="0" borderId="0" xfId="2" applyNumberFormat="1" applyFont="1"/>
    <xf numFmtId="164" fontId="0" fillId="0" borderId="0" xfId="0" applyNumberFormat="1"/>
    <xf numFmtId="164" fontId="0" fillId="0" borderId="0" xfId="2" applyNumberFormat="1" applyFont="1" applyBorder="1"/>
    <xf numFmtId="0" fontId="0" fillId="0" borderId="7" xfId="0" applyBorder="1" applyAlignment="1">
      <alignment vertical="top" wrapText="1"/>
    </xf>
    <xf numFmtId="164" fontId="0" fillId="0" borderId="0" xfId="2" applyNumberFormat="1" applyFont="1" applyFill="1" applyBorder="1"/>
    <xf numFmtId="0" fontId="3" fillId="0" borderId="0" xfId="8"/>
    <xf numFmtId="9" fontId="0" fillId="0" borderId="0" xfId="0" applyNumberFormat="1"/>
    <xf numFmtId="165" fontId="0" fillId="0" borderId="0" xfId="6" applyNumberFormat="1" applyFont="1"/>
    <xf numFmtId="10" fontId="0" fillId="0" borderId="0" xfId="6" applyNumberFormat="1" applyFont="1"/>
    <xf numFmtId="0" fontId="0" fillId="0" borderId="0" xfId="0" applyAlignment="1">
      <alignment horizontal="center"/>
    </xf>
    <xf numFmtId="9" fontId="0" fillId="0" borderId="4" xfId="3" applyFont="1" applyFill="1" applyBorder="1" applyAlignment="1">
      <alignment horizontal="center" vertical="center"/>
    </xf>
    <xf numFmtId="9" fontId="0" fillId="0" borderId="0" xfId="3" applyFont="1"/>
    <xf numFmtId="9" fontId="10" fillId="0" borderId="0" xfId="3" applyFont="1"/>
    <xf numFmtId="10" fontId="0" fillId="0" borderId="0" xfId="3" applyNumberFormat="1" applyFont="1"/>
    <xf numFmtId="3" fontId="0" fillId="0" borderId="0" xfId="0" applyNumberFormat="1"/>
    <xf numFmtId="164" fontId="0" fillId="0" borderId="14" xfId="5" applyNumberFormat="1" applyFont="1" applyFill="1" applyBorder="1" applyAlignment="1" applyProtection="1">
      <alignment horizontal="center" vertical="center"/>
      <protection locked="0"/>
    </xf>
    <xf numFmtId="2" fontId="0" fillId="0" borderId="0" xfId="3" applyNumberFormat="1" applyFont="1"/>
    <xf numFmtId="0" fontId="3" fillId="0" borderId="8" xfId="8" applyBorder="1"/>
    <xf numFmtId="0" fontId="3" fillId="0" borderId="6" xfId="8" applyBorder="1"/>
    <xf numFmtId="0" fontId="3" fillId="0" borderId="7" xfId="8" applyBorder="1"/>
    <xf numFmtId="0" fontId="7" fillId="0" borderId="6" xfId="4" applyBorder="1"/>
    <xf numFmtId="0" fontId="0" fillId="0" borderId="8" xfId="0" applyBorder="1"/>
    <xf numFmtId="0" fontId="0" fillId="0" borderId="7" xfId="0" applyBorder="1"/>
    <xf numFmtId="0" fontId="3" fillId="0" borderId="6" xfId="0" applyFont="1" applyBorder="1"/>
    <xf numFmtId="0" fontId="3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9" fontId="0" fillId="0" borderId="15" xfId="3" applyFont="1" applyFill="1" applyBorder="1" applyAlignment="1">
      <alignment horizontal="center" vertical="center"/>
    </xf>
    <xf numFmtId="9" fontId="0" fillId="0" borderId="24" xfId="3" applyFont="1" applyFill="1" applyBorder="1" applyAlignment="1">
      <alignment horizontal="center" vertical="center"/>
    </xf>
    <xf numFmtId="9" fontId="0" fillId="0" borderId="16" xfId="3" applyFont="1" applyFill="1" applyBorder="1" applyAlignment="1">
      <alignment horizontal="center" vertical="center"/>
    </xf>
    <xf numFmtId="164" fontId="0" fillId="0" borderId="15" xfId="5" applyNumberFormat="1" applyFont="1" applyFill="1" applyBorder="1" applyAlignment="1" applyProtection="1">
      <alignment horizontal="center" vertical="center"/>
      <protection locked="0"/>
    </xf>
    <xf numFmtId="164" fontId="0" fillId="0" borderId="4" xfId="2" applyNumberFormat="1" applyFont="1" applyFill="1" applyBorder="1"/>
    <xf numFmtId="0" fontId="0" fillId="0" borderId="0" xfId="0" applyFill="1"/>
    <xf numFmtId="164" fontId="0" fillId="0" borderId="6" xfId="2" applyNumberFormat="1" applyFont="1" applyFill="1" applyBorder="1"/>
    <xf numFmtId="164" fontId="0" fillId="0" borderId="15" xfId="2" applyNumberFormat="1" applyFont="1" applyFill="1" applyBorder="1"/>
    <xf numFmtId="164" fontId="0" fillId="0" borderId="14" xfId="2" applyNumberFormat="1" applyFont="1" applyFill="1" applyBorder="1"/>
    <xf numFmtId="0" fontId="13" fillId="0" borderId="17" xfId="0" applyFont="1" applyFill="1" applyBorder="1" applyAlignment="1">
      <alignment horizontal="right"/>
    </xf>
    <xf numFmtId="164" fontId="13" fillId="0" borderId="15" xfId="2" applyNumberFormat="1" applyFont="1" applyFill="1" applyBorder="1"/>
    <xf numFmtId="164" fontId="13" fillId="0" borderId="14" xfId="2" applyNumberFormat="1" applyFont="1" applyFill="1" applyBorder="1"/>
    <xf numFmtId="0" fontId="3" fillId="0" borderId="6" xfId="0" applyFont="1" applyFill="1" applyBorder="1"/>
    <xf numFmtId="0" fontId="0" fillId="0" borderId="0" xfId="0" applyAlignment="1">
      <alignment wrapText="1"/>
    </xf>
    <xf numFmtId="0" fontId="15" fillId="0" borderId="24" xfId="0" applyFont="1" applyBorder="1" applyAlignment="1">
      <alignment horizontal="center" vertical="center"/>
    </xf>
    <xf numFmtId="0" fontId="15" fillId="0" borderId="4" xfId="0" applyFont="1" applyFill="1" applyBorder="1" applyAlignment="1">
      <alignment horizontal="justify" vertical="center"/>
    </xf>
    <xf numFmtId="0" fontId="15" fillId="0" borderId="30" xfId="9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3" fontId="13" fillId="0" borderId="28" xfId="0" applyNumberFormat="1" applyFont="1" applyFill="1" applyBorder="1" applyAlignment="1">
      <alignment horizontal="justify" vertical="center"/>
    </xf>
    <xf numFmtId="3" fontId="13" fillId="0" borderId="29" xfId="0" applyNumberFormat="1" applyFont="1" applyFill="1" applyBorder="1" applyAlignment="1">
      <alignment horizontal="justify" vertical="center"/>
    </xf>
    <xf numFmtId="3" fontId="13" fillId="0" borderId="4" xfId="0" applyNumberFormat="1" applyFont="1" applyFill="1" applyBorder="1" applyAlignment="1">
      <alignment horizontal="justify" vertical="center"/>
    </xf>
    <xf numFmtId="3" fontId="13" fillId="0" borderId="16" xfId="0" applyNumberFormat="1" applyFont="1" applyFill="1" applyBorder="1" applyAlignment="1">
      <alignment horizontal="justify" vertical="center"/>
    </xf>
    <xf numFmtId="3" fontId="13" fillId="0" borderId="4" xfId="0" applyNumberFormat="1" applyFont="1" applyFill="1" applyBorder="1"/>
    <xf numFmtId="3" fontId="13" fillId="0" borderId="16" xfId="0" applyNumberFormat="1" applyFont="1" applyFill="1" applyBorder="1"/>
    <xf numFmtId="3" fontId="13" fillId="0" borderId="18" xfId="0" applyNumberFormat="1" applyFont="1" applyFill="1" applyBorder="1"/>
    <xf numFmtId="3" fontId="13" fillId="0" borderId="4" xfId="0" applyNumberFormat="1" applyFont="1" applyFill="1" applyBorder="1" applyAlignment="1">
      <alignment vertical="center" wrapText="1"/>
    </xf>
    <xf numFmtId="3" fontId="13" fillId="0" borderId="4" xfId="0" applyNumberFormat="1" applyFont="1" applyFill="1" applyBorder="1" applyAlignment="1">
      <alignment horizontal="right" vertical="center" wrapText="1"/>
    </xf>
    <xf numFmtId="164" fontId="13" fillId="0" borderId="4" xfId="2" applyNumberFormat="1" applyFont="1" applyFill="1" applyBorder="1"/>
    <xf numFmtId="164" fontId="13" fillId="0" borderId="4" xfId="0" applyNumberFormat="1" applyFont="1" applyFill="1" applyBorder="1"/>
    <xf numFmtId="164" fontId="13" fillId="0" borderId="6" xfId="0" applyNumberFormat="1" applyFont="1" applyFill="1" applyBorder="1"/>
    <xf numFmtId="0" fontId="15" fillId="0" borderId="1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justify" vertical="center"/>
    </xf>
    <xf numFmtId="0" fontId="15" fillId="0" borderId="27" xfId="0" applyFont="1" applyFill="1" applyBorder="1" applyAlignment="1">
      <alignment horizontal="justify" vertical="center"/>
    </xf>
    <xf numFmtId="3" fontId="16" fillId="0" borderId="16" xfId="0" applyNumberFormat="1" applyFont="1" applyFill="1" applyBorder="1"/>
    <xf numFmtId="0" fontId="15" fillId="0" borderId="16" xfId="0" applyFont="1" applyBorder="1" applyAlignment="1">
      <alignment horizontal="justify" vertical="center"/>
    </xf>
    <xf numFmtId="0" fontId="15" fillId="0" borderId="16" xfId="0" applyFont="1" applyFill="1" applyBorder="1" applyAlignment="1">
      <alignment horizontal="justify" vertical="center"/>
    </xf>
    <xf numFmtId="9" fontId="13" fillId="0" borderId="16" xfId="0" applyNumberFormat="1" applyFont="1" applyBorder="1"/>
    <xf numFmtId="9" fontId="13" fillId="0" borderId="18" xfId="0" applyNumberFormat="1" applyFont="1" applyBorder="1"/>
    <xf numFmtId="0" fontId="15" fillId="0" borderId="4" xfId="9" applyFont="1" applyBorder="1" applyAlignment="1">
      <alignment horizontal="center" vertical="center" wrapText="1"/>
    </xf>
    <xf numFmtId="0" fontId="15" fillId="0" borderId="4" xfId="9" applyFont="1" applyBorder="1" applyAlignment="1">
      <alignment vertical="center" wrapText="1"/>
    </xf>
    <xf numFmtId="0" fontId="15" fillId="0" borderId="4" xfId="9" applyFont="1" applyFill="1" applyBorder="1" applyAlignment="1">
      <alignment vertical="center" wrapText="1"/>
    </xf>
    <xf numFmtId="0" fontId="15" fillId="0" borderId="4" xfId="9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8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6" fillId="0" borderId="17" xfId="0" applyFont="1" applyBorder="1" applyAlignment="1">
      <alignment wrapText="1"/>
    </xf>
    <xf numFmtId="9" fontId="0" fillId="0" borderId="15" xfId="3" applyNumberFormat="1" applyFont="1" applyBorder="1" applyAlignment="1">
      <alignment horizontal="center" vertical="center"/>
    </xf>
    <xf numFmtId="9" fontId="0" fillId="0" borderId="14" xfId="3" applyNumberFormat="1" applyFont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18" xfId="1" applyNumberFormat="1" applyFont="1" applyFill="1" applyBorder="1" applyAlignment="1">
      <alignment horizontal="center" vertical="center" wrapText="1"/>
    </xf>
    <xf numFmtId="0" fontId="5" fillId="0" borderId="19" xfId="1" applyNumberFormat="1" applyFont="1" applyFill="1" applyBorder="1" applyAlignment="1">
      <alignment horizontal="center" vertical="center" wrapText="1"/>
    </xf>
    <xf numFmtId="0" fontId="5" fillId="0" borderId="20" xfId="1" applyNumberFormat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22" xfId="1" applyNumberFormat="1" applyFont="1" applyFill="1" applyBorder="1" applyAlignment="1">
      <alignment horizontal="center" vertical="center" wrapText="1"/>
    </xf>
    <xf numFmtId="0" fontId="5" fillId="0" borderId="23" xfId="1" applyNumberFormat="1" applyFont="1" applyFill="1" applyBorder="1" applyAlignment="1">
      <alignment horizontal="center" vertical="center" wrapText="1"/>
    </xf>
    <xf numFmtId="0" fontId="5" fillId="0" borderId="2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9" fontId="0" fillId="0" borderId="0" xfId="3" applyNumberFormat="1" applyFont="1" applyBorder="1" applyAlignment="1">
      <alignment horizontal="center" vertical="center"/>
    </xf>
    <xf numFmtId="9" fontId="0" fillId="0" borderId="7" xfId="3" applyNumberFormat="1" applyFont="1" applyBorder="1" applyAlignment="1">
      <alignment horizontal="center" vertical="center"/>
    </xf>
    <xf numFmtId="0" fontId="3" fillId="0" borderId="6" xfId="0" applyFont="1" applyBorder="1" applyAlignment="1"/>
    <xf numFmtId="9" fontId="2" fillId="0" borderId="16" xfId="1" applyNumberFormat="1" applyFont="1" applyFill="1" applyBorder="1" applyAlignment="1">
      <alignment horizontal="center" vertical="center" wrapText="1"/>
    </xf>
    <xf numFmtId="9" fontId="2" fillId="0" borderId="15" xfId="1" applyNumberFormat="1" applyFont="1" applyFill="1" applyBorder="1" applyAlignment="1">
      <alignment horizontal="center" vertical="center" wrapText="1"/>
    </xf>
    <xf numFmtId="9" fontId="2" fillId="0" borderId="0" xfId="1" applyNumberFormat="1" applyFont="1" applyFill="1" applyBorder="1" applyAlignment="1">
      <alignment horizontal="center" vertical="center" wrapText="1"/>
    </xf>
    <xf numFmtId="9" fontId="2" fillId="0" borderId="7" xfId="1" applyNumberFormat="1" applyFont="1" applyFill="1" applyBorder="1" applyAlignment="1">
      <alignment horizontal="center" vertical="center" wrapText="1"/>
    </xf>
    <xf numFmtId="9" fontId="2" fillId="0" borderId="8" xfId="1" applyNumberFormat="1" applyFont="1" applyFill="1" applyBorder="1" applyAlignment="1">
      <alignment horizontal="center" vertical="center" wrapText="1"/>
    </xf>
    <xf numFmtId="10" fontId="0" fillId="0" borderId="0" xfId="3" applyNumberFormat="1" applyFont="1" applyBorder="1"/>
    <xf numFmtId="164" fontId="0" fillId="0" borderId="7" xfId="2" applyNumberFormat="1" applyFont="1" applyBorder="1"/>
    <xf numFmtId="10" fontId="0" fillId="0" borderId="7" xfId="3" applyNumberFormat="1" applyFont="1" applyBorder="1"/>
    <xf numFmtId="10" fontId="0" fillId="0" borderId="8" xfId="3" applyNumberFormat="1" applyFont="1" applyBorder="1"/>
    <xf numFmtId="0" fontId="3" fillId="0" borderId="0" xfId="0" applyFont="1" applyBorder="1"/>
    <xf numFmtId="0" fontId="12" fillId="0" borderId="8" xfId="1" applyNumberFormat="1" applyFont="1" applyFill="1" applyBorder="1">
      <alignment horizontal="left" vertical="center" wrapText="1"/>
    </xf>
    <xf numFmtId="0" fontId="12" fillId="0" borderId="4" xfId="1" applyNumberFormat="1" applyFont="1" applyFill="1" applyBorder="1">
      <alignment horizontal="left" vertical="center" wrapText="1"/>
    </xf>
    <xf numFmtId="0" fontId="13" fillId="0" borderId="4" xfId="8" applyFont="1" applyFill="1" applyBorder="1"/>
    <xf numFmtId="0" fontId="13" fillId="0" borderId="6" xfId="8" applyFont="1" applyFill="1" applyBorder="1"/>
    <xf numFmtId="0" fontId="13" fillId="0" borderId="8" xfId="8" applyFont="1" applyFill="1" applyBorder="1"/>
    <xf numFmtId="3" fontId="13" fillId="0" borderId="4" xfId="8" applyNumberFormat="1" applyFont="1" applyFill="1" applyBorder="1"/>
    <xf numFmtId="3" fontId="13" fillId="0" borderId="6" xfId="8" applyNumberFormat="1" applyFont="1" applyFill="1" applyBorder="1"/>
    <xf numFmtId="0" fontId="13" fillId="0" borderId="17" xfId="8" applyFont="1" applyFill="1" applyBorder="1"/>
    <xf numFmtId="3" fontId="13" fillId="0" borderId="15" xfId="8" applyNumberFormat="1" applyFont="1" applyFill="1" applyBorder="1"/>
    <xf numFmtId="3" fontId="13" fillId="0" borderId="14" xfId="8" applyNumberFormat="1" applyFont="1" applyFill="1" applyBorder="1"/>
    <xf numFmtId="10" fontId="13" fillId="0" borderId="4" xfId="8" applyNumberFormat="1" applyFont="1" applyFill="1" applyBorder="1" applyAlignment="1">
      <alignment vertical="center" wrapText="1"/>
    </xf>
    <xf numFmtId="10" fontId="13" fillId="0" borderId="4" xfId="8" applyNumberFormat="1" applyFont="1" applyFill="1" applyBorder="1" applyAlignment="1">
      <alignment wrapText="1"/>
    </xf>
    <xf numFmtId="10" fontId="13" fillId="0" borderId="6" xfId="8" applyNumberFormat="1" applyFont="1" applyFill="1" applyBorder="1" applyAlignment="1">
      <alignment wrapText="1"/>
    </xf>
    <xf numFmtId="0" fontId="13" fillId="0" borderId="8" xfId="0" applyFont="1" applyFill="1" applyBorder="1"/>
    <xf numFmtId="9" fontId="13" fillId="0" borderId="4" xfId="3" applyFont="1" applyFill="1" applyBorder="1"/>
    <xf numFmtId="164" fontId="13" fillId="0" borderId="6" xfId="2" applyNumberFormat="1" applyFont="1" applyFill="1" applyBorder="1"/>
    <xf numFmtId="0" fontId="13" fillId="0" borderId="17" xfId="0" applyFont="1" applyFill="1" applyBorder="1"/>
    <xf numFmtId="9" fontId="13" fillId="0" borderId="15" xfId="3" applyFont="1" applyFill="1" applyBorder="1"/>
    <xf numFmtId="0" fontId="3" fillId="0" borderId="9" xfId="0" applyFont="1" applyFill="1" applyBorder="1" applyAlignment="1">
      <alignment horizontal="center"/>
    </xf>
    <xf numFmtId="0" fontId="5" fillId="0" borderId="8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12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10" fontId="0" fillId="0" borderId="4" xfId="3" applyNumberFormat="1" applyFont="1" applyFill="1" applyBorder="1"/>
    <xf numFmtId="0" fontId="0" fillId="0" borderId="17" xfId="0" applyFill="1" applyBorder="1"/>
    <xf numFmtId="10" fontId="0" fillId="0" borderId="15" xfId="3" applyNumberFormat="1" applyFont="1" applyFill="1" applyBorder="1"/>
    <xf numFmtId="0" fontId="15" fillId="0" borderId="30" xfId="9" applyNumberFormat="1" applyFont="1" applyFill="1" applyAlignment="1">
      <alignment horizontal="center" vertical="center" wrapText="1"/>
    </xf>
    <xf numFmtId="0" fontId="15" fillId="0" borderId="31" xfId="9" applyNumberFormat="1" applyFont="1" applyFill="1" applyBorder="1" applyAlignment="1">
      <alignment horizontal="center" vertical="center" wrapText="1"/>
    </xf>
    <xf numFmtId="43" fontId="15" fillId="0" borderId="30" xfId="9" applyNumberFormat="1" applyFont="1" applyAlignment="1">
      <alignment horizontal="center" vertical="center" wrapText="1"/>
    </xf>
    <xf numFmtId="0" fontId="15" fillId="0" borderId="25" xfId="0" applyFont="1" applyFill="1" applyBorder="1" applyAlignment="1">
      <alignment horizontal="justify" vertical="center"/>
    </xf>
    <xf numFmtId="0" fontId="15" fillId="0" borderId="26" xfId="0" applyFont="1" applyFill="1" applyBorder="1" applyAlignment="1">
      <alignment horizontal="justify" vertical="center"/>
    </xf>
    <xf numFmtId="9" fontId="13" fillId="0" borderId="28" xfId="0" applyNumberFormat="1" applyFont="1" applyFill="1" applyBorder="1" applyAlignment="1">
      <alignment horizontal="justify" vertical="center"/>
    </xf>
    <xf numFmtId="3" fontId="13" fillId="0" borderId="25" xfId="0" applyNumberFormat="1" applyFont="1" applyFill="1" applyBorder="1" applyAlignment="1">
      <alignment horizontal="justify" vertical="center"/>
    </xf>
    <xf numFmtId="3" fontId="13" fillId="0" borderId="26" xfId="0" applyNumberFormat="1" applyFont="1" applyFill="1" applyBorder="1" applyAlignment="1">
      <alignment horizontal="justify" vertical="center"/>
    </xf>
    <xf numFmtId="9" fontId="13" fillId="0" borderId="26" xfId="0" applyNumberFormat="1" applyFont="1" applyFill="1" applyBorder="1" applyAlignment="1">
      <alignment horizontal="justify" vertical="center"/>
    </xf>
    <xf numFmtId="0" fontId="15" fillId="0" borderId="33" xfId="0" applyFont="1" applyFill="1" applyBorder="1" applyAlignment="1">
      <alignment horizontal="justify" vertical="center"/>
    </xf>
    <xf numFmtId="3" fontId="13" fillId="0" borderId="34" xfId="0" applyNumberFormat="1" applyFont="1" applyFill="1" applyBorder="1" applyAlignment="1">
      <alignment horizontal="justify" vertical="center"/>
    </xf>
    <xf numFmtId="9" fontId="13" fillId="0" borderId="34" xfId="0" applyNumberFormat="1" applyFont="1" applyFill="1" applyBorder="1" applyAlignment="1">
      <alignment horizontal="justify" vertical="center"/>
    </xf>
    <xf numFmtId="3" fontId="15" fillId="0" borderId="33" xfId="0" applyNumberFormat="1" applyFont="1" applyFill="1" applyBorder="1" applyAlignment="1">
      <alignment horizontal="justify" vertical="center"/>
    </xf>
    <xf numFmtId="3" fontId="13" fillId="0" borderId="33" xfId="0" applyNumberFormat="1" applyFont="1" applyFill="1" applyBorder="1" applyAlignment="1">
      <alignment horizontal="justify" vertical="center"/>
    </xf>
    <xf numFmtId="3" fontId="0" fillId="0" borderId="0" xfId="0" applyNumberFormat="1" applyFont="1" applyBorder="1"/>
    <xf numFmtId="3" fontId="0" fillId="0" borderId="0" xfId="0" applyNumberFormat="1" applyFont="1" applyBorder="1" applyAlignment="1">
      <alignment horizontal="center" vertical="center"/>
    </xf>
    <xf numFmtId="3" fontId="0" fillId="0" borderId="7" xfId="0" applyNumberFormat="1" applyFont="1" applyBorder="1"/>
    <xf numFmtId="3" fontId="0" fillId="0" borderId="7" xfId="0" applyNumberFormat="1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3" fontId="0" fillId="0" borderId="4" xfId="0" applyNumberFormat="1" applyFont="1" applyFill="1" applyBorder="1"/>
    <xf numFmtId="3" fontId="0" fillId="0" borderId="4" xfId="0" applyNumberFormat="1" applyFont="1" applyFill="1" applyBorder="1" applyAlignment="1">
      <alignment horizontal="center"/>
    </xf>
    <xf numFmtId="3" fontId="0" fillId="0" borderId="15" xfId="0" applyNumberFormat="1" applyFont="1" applyFill="1" applyBorder="1"/>
    <xf numFmtId="3" fontId="0" fillId="0" borderId="15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center"/>
    </xf>
    <xf numFmtId="3" fontId="0" fillId="0" borderId="7" xfId="0" applyNumberFormat="1" applyFont="1" applyFill="1" applyBorder="1"/>
    <xf numFmtId="3" fontId="0" fillId="0" borderId="7" xfId="0" applyNumberFormat="1" applyFont="1" applyFill="1" applyBorder="1" applyAlignment="1">
      <alignment horizontal="center"/>
    </xf>
    <xf numFmtId="164" fontId="0" fillId="0" borderId="7" xfId="2" applyNumberFormat="1" applyFont="1" applyFill="1" applyBorder="1"/>
    <xf numFmtId="164" fontId="0" fillId="0" borderId="8" xfId="2" applyNumberFormat="1" applyFont="1" applyFill="1" applyBorder="1"/>
    <xf numFmtId="0" fontId="3" fillId="0" borderId="0" xfId="0" applyFont="1" applyFill="1" applyBorder="1"/>
    <xf numFmtId="0" fontId="3" fillId="0" borderId="16" xfId="0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horizontal="center" vertical="center"/>
    </xf>
    <xf numFmtId="3" fontId="0" fillId="0" borderId="15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 wrapText="1"/>
    </xf>
    <xf numFmtId="0" fontId="15" fillId="0" borderId="8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1" fontId="15" fillId="0" borderId="4" xfId="0" applyNumberFormat="1" applyFont="1" applyFill="1" applyBorder="1" applyAlignment="1">
      <alignment horizontal="center"/>
    </xf>
    <xf numFmtId="9" fontId="15" fillId="0" borderId="7" xfId="0" applyNumberFormat="1" applyFont="1" applyFill="1" applyBorder="1" applyAlignment="1">
      <alignment horizontal="center"/>
    </xf>
    <xf numFmtId="9" fontId="15" fillId="0" borderId="8" xfId="0" applyNumberFormat="1" applyFont="1" applyFill="1" applyBorder="1" applyAlignment="1">
      <alignment horizontal="center"/>
    </xf>
    <xf numFmtId="1" fontId="15" fillId="0" borderId="8" xfId="0" applyNumberFormat="1" applyFont="1" applyFill="1" applyBorder="1" applyAlignment="1">
      <alignment horizontal="center"/>
    </xf>
    <xf numFmtId="49" fontId="15" fillId="0" borderId="4" xfId="0" applyNumberFormat="1" applyFont="1" applyFill="1" applyBorder="1" applyAlignment="1">
      <alignment horizontal="center"/>
    </xf>
    <xf numFmtId="49" fontId="15" fillId="0" borderId="6" xfId="0" applyNumberFormat="1" applyFont="1" applyFill="1" applyBorder="1" applyAlignment="1">
      <alignment horizontal="center"/>
    </xf>
    <xf numFmtId="9" fontId="13" fillId="0" borderId="15" xfId="3" applyFont="1" applyFill="1" applyBorder="1" applyAlignment="1">
      <alignment horizontal="center" vertical="center"/>
    </xf>
    <xf numFmtId="166" fontId="13" fillId="0" borderId="4" xfId="2" applyNumberFormat="1" applyFont="1" applyFill="1" applyBorder="1"/>
    <xf numFmtId="164" fontId="13" fillId="0" borderId="16" xfId="0" applyNumberFormat="1" applyFont="1" applyFill="1" applyBorder="1"/>
    <xf numFmtId="164" fontId="13" fillId="0" borderId="16" xfId="2" applyNumberFormat="1" applyFont="1" applyFill="1" applyBorder="1"/>
    <xf numFmtId="166" fontId="13" fillId="0" borderId="15" xfId="0" applyNumberFormat="1" applyFont="1" applyFill="1" applyBorder="1" applyAlignment="1">
      <alignment horizontal="center" vertical="center"/>
    </xf>
    <xf numFmtId="164" fontId="13" fillId="0" borderId="18" xfId="0" applyNumberFormat="1" applyFont="1" applyFill="1" applyBorder="1"/>
    <xf numFmtId="9" fontId="13" fillId="0" borderId="24" xfId="3" applyFont="1" applyFill="1" applyBorder="1" applyAlignment="1">
      <alignment horizontal="center" vertical="center"/>
    </xf>
    <xf numFmtId="3" fontId="13" fillId="0" borderId="15" xfId="0" applyNumberFormat="1" applyFont="1" applyFill="1" applyBorder="1"/>
    <xf numFmtId="166" fontId="13" fillId="0" borderId="15" xfId="2" applyNumberFormat="1" applyFont="1" applyFill="1" applyBorder="1"/>
    <xf numFmtId="164" fontId="13" fillId="0" borderId="15" xfId="0" applyNumberFormat="1" applyFont="1" applyFill="1" applyBorder="1"/>
    <xf numFmtId="164" fontId="13" fillId="0" borderId="24" xfId="0" applyNumberFormat="1" applyFont="1" applyFill="1" applyBorder="1"/>
    <xf numFmtId="164" fontId="13" fillId="0" borderId="24" xfId="2" applyNumberFormat="1" applyFont="1" applyFill="1" applyBorder="1"/>
    <xf numFmtId="164" fontId="13" fillId="0" borderId="9" xfId="0" applyNumberFormat="1" applyFont="1" applyFill="1" applyBorder="1"/>
    <xf numFmtId="0" fontId="15" fillId="0" borderId="20" xfId="1" applyNumberFormat="1" applyFont="1" applyFill="1" applyBorder="1" applyAlignment="1">
      <alignment horizontal="center" vertical="center" wrapText="1"/>
    </xf>
    <xf numFmtId="0" fontId="15" fillId="0" borderId="16" xfId="1" applyNumberFormat="1" applyFont="1" applyFill="1" applyBorder="1" applyAlignment="1">
      <alignment horizontal="center" vertical="center" wrapText="1"/>
    </xf>
    <xf numFmtId="0" fontId="15" fillId="0" borderId="16" xfId="0" applyFont="1" applyFill="1" applyBorder="1"/>
    <xf numFmtId="0" fontId="15" fillId="0" borderId="32" xfId="0" applyFont="1" applyFill="1" applyBorder="1"/>
    <xf numFmtId="0" fontId="15" fillId="0" borderId="24" xfId="0" applyFont="1" applyFill="1" applyBorder="1"/>
    <xf numFmtId="0" fontId="15" fillId="0" borderId="9" xfId="0" applyFont="1" applyFill="1" applyBorder="1"/>
    <xf numFmtId="0" fontId="15" fillId="0" borderId="4" xfId="9" applyNumberFormat="1" applyFont="1" applyFill="1" applyBorder="1" applyAlignment="1">
      <alignment horizontal="center" vertical="center" wrapText="1"/>
    </xf>
    <xf numFmtId="0" fontId="13" fillId="0" borderId="20" xfId="0" applyFont="1" applyFill="1" applyBorder="1"/>
    <xf numFmtId="164" fontId="13" fillId="0" borderId="18" xfId="2" applyNumberFormat="1" applyFont="1" applyFill="1" applyBorder="1"/>
    <xf numFmtId="0" fontId="15" fillId="0" borderId="4" xfId="9" applyNumberFormat="1" applyFont="1" applyFill="1" applyBorder="1" applyAlignment="1">
      <alignment vertical="center" wrapText="1"/>
    </xf>
    <xf numFmtId="164" fontId="3" fillId="0" borderId="0" xfId="2" applyNumberFormat="1" applyFont="1" applyFill="1" applyBorder="1"/>
    <xf numFmtId="0" fontId="15" fillId="0" borderId="30" xfId="9" applyNumberFormat="1" applyFont="1" applyFill="1" applyAlignment="1">
      <alignment horizontal="left" vertical="center" wrapText="1"/>
    </xf>
    <xf numFmtId="0" fontId="15" fillId="0" borderId="30" xfId="9" applyFont="1" applyFill="1"/>
    <xf numFmtId="0" fontId="15" fillId="2" borderId="30" xfId="9" applyNumberFormat="1" applyFont="1" applyFill="1" applyAlignment="1">
      <alignment horizontal="left" vertical="center" wrapText="1"/>
    </xf>
    <xf numFmtId="0" fontId="15" fillId="3" borderId="30" xfId="9" applyFont="1" applyFill="1" applyAlignment="1">
      <alignment vertical="center" wrapText="1"/>
    </xf>
    <xf numFmtId="0" fontId="15" fillId="3" borderId="30" xfId="9" applyFont="1" applyFill="1" applyAlignment="1">
      <alignment wrapText="1"/>
    </xf>
    <xf numFmtId="9" fontId="13" fillId="0" borderId="4" xfId="3" applyFont="1" applyFill="1" applyBorder="1" applyAlignment="1">
      <alignment horizontal="center"/>
    </xf>
    <xf numFmtId="3" fontId="13" fillId="0" borderId="4" xfId="3" applyNumberFormat="1" applyFont="1" applyFill="1" applyBorder="1"/>
    <xf numFmtId="3" fontId="13" fillId="0" borderId="4" xfId="3" applyNumberFormat="1" applyFont="1" applyFill="1" applyBorder="1" applyAlignment="1">
      <alignment vertical="center"/>
    </xf>
    <xf numFmtId="3" fontId="13" fillId="0" borderId="6" xfId="3" applyNumberFormat="1" applyFont="1" applyFill="1" applyBorder="1" applyAlignment="1">
      <alignment vertical="center"/>
    </xf>
    <xf numFmtId="9" fontId="13" fillId="0" borderId="4" xfId="3" applyFont="1" applyFill="1" applyBorder="1" applyAlignment="1">
      <alignment horizontal="center" vertical="center"/>
    </xf>
    <xf numFmtId="164" fontId="13" fillId="0" borderId="8" xfId="2" applyNumberFormat="1" applyFont="1" applyFill="1" applyBorder="1"/>
    <xf numFmtId="2" fontId="13" fillId="0" borderId="4" xfId="3" applyNumberFormat="1" applyFont="1" applyFill="1" applyBorder="1" applyAlignment="1">
      <alignment horizontal="center" vertical="center"/>
    </xf>
    <xf numFmtId="3" fontId="13" fillId="0" borderId="15" xfId="3" applyNumberFormat="1" applyFont="1" applyFill="1" applyBorder="1" applyAlignment="1">
      <alignment vertical="center"/>
    </xf>
    <xf numFmtId="3" fontId="13" fillId="0" borderId="14" xfId="3" applyNumberFormat="1" applyFont="1" applyFill="1" applyBorder="1" applyAlignment="1">
      <alignment vertical="center"/>
    </xf>
    <xf numFmtId="9" fontId="13" fillId="0" borderId="15" xfId="3" applyFont="1" applyFill="1" applyBorder="1" applyAlignment="1">
      <alignment vertical="center"/>
    </xf>
    <xf numFmtId="164" fontId="13" fillId="0" borderId="17" xfId="2" applyNumberFormat="1" applyFont="1" applyFill="1" applyBorder="1"/>
    <xf numFmtId="0" fontId="14" fillId="0" borderId="20" xfId="1" applyNumberFormat="1" applyFont="1" applyFill="1" applyBorder="1" applyAlignment="1">
      <alignment horizontal="center" vertical="center" wrapText="1"/>
    </xf>
    <xf numFmtId="0" fontId="14" fillId="0" borderId="16" xfId="1" applyNumberFormat="1" applyFont="1" applyFill="1" applyBorder="1" applyAlignment="1">
      <alignment horizontal="center" vertical="center" wrapText="1"/>
    </xf>
    <xf numFmtId="0" fontId="14" fillId="0" borderId="18" xfId="1" applyNumberFormat="1" applyFont="1" applyFill="1" applyBorder="1" applyAlignment="1">
      <alignment horizontal="center" vertical="center" wrapText="1"/>
    </xf>
    <xf numFmtId="0" fontId="15" fillId="0" borderId="20" xfId="0" applyFont="1" applyFill="1" applyBorder="1"/>
    <xf numFmtId="3" fontId="0" fillId="0" borderId="4" xfId="3" applyNumberFormat="1" applyFont="1" applyFill="1" applyBorder="1" applyAlignment="1">
      <alignment horizontal="center" vertical="center"/>
    </xf>
    <xf numFmtId="3" fontId="0" fillId="0" borderId="15" xfId="3" applyNumberFormat="1" applyFont="1" applyFill="1" applyBorder="1" applyAlignment="1">
      <alignment horizontal="center" vertical="center"/>
    </xf>
    <xf numFmtId="0" fontId="5" fillId="0" borderId="24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9" fontId="0" fillId="0" borderId="0" xfId="3" applyFont="1" applyFill="1" applyBorder="1" applyAlignment="1">
      <alignment horizontal="center" vertical="center"/>
    </xf>
    <xf numFmtId="3" fontId="0" fillId="0" borderId="0" xfId="3" applyNumberFormat="1" applyFont="1" applyFill="1" applyBorder="1" applyAlignment="1">
      <alignment horizontal="center" vertical="center"/>
    </xf>
    <xf numFmtId="164" fontId="0" fillId="0" borderId="0" xfId="5" applyNumberFormat="1" applyFont="1" applyFill="1" applyBorder="1" applyAlignment="1" applyProtection="1">
      <alignment horizontal="center" vertical="center"/>
      <protection locked="0"/>
    </xf>
    <xf numFmtId="3" fontId="0" fillId="0" borderId="7" xfId="0" applyNumberFormat="1" applyFont="1" applyFill="1" applyBorder="1" applyAlignment="1">
      <alignment horizontal="center" vertical="center"/>
    </xf>
    <xf numFmtId="9" fontId="0" fillId="0" borderId="7" xfId="3" applyFont="1" applyFill="1" applyBorder="1" applyAlignment="1">
      <alignment horizontal="center" vertical="center"/>
    </xf>
    <xf numFmtId="3" fontId="0" fillId="0" borderId="7" xfId="3" applyNumberFormat="1" applyFont="1" applyFill="1" applyBorder="1" applyAlignment="1">
      <alignment horizontal="center" vertical="center"/>
    </xf>
    <xf numFmtId="164" fontId="0" fillId="0" borderId="7" xfId="5" applyNumberFormat="1" applyFont="1" applyFill="1" applyBorder="1" applyAlignment="1" applyProtection="1">
      <alignment horizontal="center" vertical="center"/>
      <protection locked="0"/>
    </xf>
    <xf numFmtId="164" fontId="0" fillId="0" borderId="8" xfId="5" applyNumberFormat="1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vertical="top" wrapText="1"/>
    </xf>
    <xf numFmtId="0" fontId="9" fillId="0" borderId="6" xfId="0" applyFont="1" applyBorder="1" applyAlignment="1">
      <alignment vertical="top"/>
    </xf>
    <xf numFmtId="3" fontId="14" fillId="0" borderId="16" xfId="1" applyNumberFormat="1" applyFont="1" applyFill="1" applyBorder="1" applyAlignment="1">
      <alignment horizontal="center" vertical="center" wrapText="1"/>
    </xf>
    <xf numFmtId="10" fontId="13" fillId="0" borderId="4" xfId="3" applyNumberFormat="1" applyFont="1" applyFill="1" applyBorder="1"/>
    <xf numFmtId="0" fontId="15" fillId="0" borderId="35" xfId="9" applyNumberFormat="1" applyFont="1" applyFill="1" applyBorder="1" applyAlignment="1">
      <alignment horizontal="center" vertical="center" wrapText="1"/>
    </xf>
    <xf numFmtId="3" fontId="13" fillId="0" borderId="6" xfId="2" applyNumberFormat="1" applyFont="1" applyFill="1" applyBorder="1" applyAlignment="1">
      <alignment vertical="center"/>
    </xf>
    <xf numFmtId="0" fontId="0" fillId="0" borderId="6" xfId="0" applyBorder="1"/>
    <xf numFmtId="164" fontId="0" fillId="0" borderId="7" xfId="0" applyNumberFormat="1" applyBorder="1"/>
    <xf numFmtId="0" fontId="15" fillId="0" borderId="30" xfId="9" applyFont="1" applyFill="1" applyAlignment="1">
      <alignment horizontal="center" vertical="center" wrapText="1"/>
    </xf>
  </cellXfs>
  <cellStyles count="10">
    <cellStyle name="Dziesiętny" xfId="2" builtinId="3"/>
    <cellStyle name="Dziesiętny 2" xfId="5"/>
    <cellStyle name="Hiperłącze" xfId="4" builtinId="8"/>
    <cellStyle name="Kolumna" xfId="1"/>
    <cellStyle name="Nagłówek 1" xfId="9" builtinId="16"/>
    <cellStyle name="Normalny" xfId="0" builtinId="0"/>
    <cellStyle name="Normalny 2" xfId="8"/>
    <cellStyle name="Normalny 3" xfId="7"/>
    <cellStyle name="Procentowy" xfId="3" builtinId="5"/>
    <cellStyle name="Procentowy 2" xfId="6"/>
  </cellStyles>
  <dxfs count="478"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rgb="FF000000"/>
          <bgColor rgb="FFFFFFFF"/>
        </patternFill>
      </fill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.0\ _z_ł_-;\-* #,##0.0\ _z_ł_-;_-* &quot;-&quot;??\ _z_ł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.0\ _z_ł_-;\-* #,##0.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3" formatCode="0%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4" formatCode="0.00%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/>
        <bottom style="medium">
          <color rgb="FF4472C4"/>
        </bottom>
      </border>
    </dxf>
    <dxf>
      <border outline="0">
        <bottom style="medium">
          <color rgb="FF4472C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 style="medium">
          <color rgb="FF4472C4"/>
        </top>
        <bottom style="thick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4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solid">
          <fgColor indexed="64"/>
          <bgColor theme="8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/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/>
        <right style="medium">
          <color rgb="FF4472C4"/>
        </right>
        <top/>
        <bottom style="medium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D0DBF0"/>
        </patternFill>
      </fill>
      <alignment horizontal="justify" vertical="center" textRotation="0" wrapText="0" indent="0" justifyLastLine="0" shrinkToFit="0" readingOrder="0"/>
      <border diagonalUp="0" diagonalDown="0" outline="0">
        <left style="medium">
          <color rgb="FF4472C4"/>
        </left>
        <right style="medium">
          <color rgb="FF4472C4"/>
        </right>
        <top/>
        <bottom style="medium">
          <color rgb="FF4472C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164" formatCode="_-* #,##0\ _z_ł_-;\-* #,##0\ _z_ł_-;_-* &quot;-&quot;??\ _z_ł_-;_-@_-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border outline="0"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\ _z_ł_-;\-* #,##0\ _z_ł_-;_-* &quot;-&quot;??\ _z_ł_-;_-@_-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 outline="0">
        <left style="thin">
          <color indexed="64"/>
        </lef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solid">
          <fgColor indexed="64"/>
          <bgColor rgb="FFFFC0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ela1" displayName="Tabela1" ref="A1:N20" totalsRowShown="0" headerRowDxfId="477" dataDxfId="476" totalsRowBorderDxfId="475" headerRowCellStyle="Nagłówek 1" dataCellStyle="Normalny 2">
  <autoFilter ref="A1:N20"/>
  <tableColumns count="14">
    <tableColumn id="1" name="Nazwa" dataDxfId="474" dataCellStyle="Normalny 2"/>
    <tableColumn id="2" name="PKB" dataDxfId="473" dataCellStyle="Normalny 2"/>
    <tableColumn id="3" name="PKB (+ 4%)" dataDxfId="472" dataCellStyle="Normalny 2">
      <calculatedColumnFormula>B2*104%</calculatedColumnFormula>
    </tableColumn>
    <tableColumn id="4" name="PKB (+3,4%)" dataDxfId="471" dataCellStyle="Normalny 2">
      <calculatedColumnFormula>C2*103.4%</calculatedColumnFormula>
    </tableColumn>
    <tableColumn id="5" name="PKB (+5%)" dataDxfId="470" dataCellStyle="Normalny 2">
      <calculatedColumnFormula>D2*105%</calculatedColumnFormula>
    </tableColumn>
    <tableColumn id="6" name="PKB (+5%)2" dataDxfId="469" dataCellStyle="Normalny 2">
      <calculatedColumnFormula>E2*105%</calculatedColumnFormula>
    </tableColumn>
    <tableColumn id="7" name="PKB (+5%)3" dataDxfId="468" dataCellStyle="Normalny 2">
      <calculatedColumnFormula>F2*105%</calculatedColumnFormula>
    </tableColumn>
    <tableColumn id="8" name="PKB (+5%)4" dataDxfId="467" dataCellStyle="Normalny 2">
      <calculatedColumnFormula>G2*105%</calculatedColumnFormula>
    </tableColumn>
    <tableColumn id="9" name="PKB (+5%)5" dataDxfId="466" dataCellStyle="Normalny 2">
      <calculatedColumnFormula>H2*105%</calculatedColumnFormula>
    </tableColumn>
    <tableColumn id="10" name="PKB (+5%)6" dataDxfId="465" dataCellStyle="Normalny 2">
      <calculatedColumnFormula>I2*105%</calculatedColumnFormula>
    </tableColumn>
    <tableColumn id="11" name="PKB (+5%)7" dataDxfId="464" dataCellStyle="Normalny 2">
      <calculatedColumnFormula>J2*105%</calculatedColumnFormula>
    </tableColumn>
    <tableColumn id="12" name="PKB (+5%)8" dataDxfId="463" dataCellStyle="Normalny 2">
      <calculatedColumnFormula>K2*105%</calculatedColumnFormula>
    </tableColumn>
    <tableColumn id="13" name="PKB (+5%)9" dataDxfId="462" dataCellStyle="Normalny 2">
      <calculatedColumnFormula>L2*105%</calculatedColumnFormula>
    </tableColumn>
    <tableColumn id="14" name="PKB (+5%)10" dataDxfId="461" dataCellStyle="Normalny 2">
      <calculatedColumnFormula>M2*105%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Historyczna i prognozowana wartość PKB" altTextSummary="Tabela przedstawia historyczne oraz prognozowane wartości PKB w podziale na kraj i województwa dla lat 2018-2030."/>
    </ext>
  </extLst>
</table>
</file>

<file path=xl/tables/table10.xml><?xml version="1.0" encoding="utf-8"?>
<table xmlns="http://schemas.openxmlformats.org/spreadsheetml/2006/main" id="10" name="Tabela10" displayName="Tabela10" ref="A1:AE8" totalsRowShown="0" headerRowDxfId="179" dataDxfId="178" tableBorderDxfId="177" headerRowCellStyle="Kolumna" dataCellStyle="Kolumna">
  <autoFilter ref="A1:AE8"/>
  <tableColumns count="31">
    <tableColumn id="1" name="Oznaczenie potrzeb inwestycyjnych"/>
    <tableColumn id="2" name="Udział przedsiębiorstw planujących inwestycje na najbliższe 3 lata (w %)"/>
    <tableColumn id="3" name="Kolumna1"/>
    <tableColumn id="4" name="Kolumna2"/>
    <tableColumn id="5" name="Kolumna3"/>
    <tableColumn id="6" name="Kolumna4"/>
    <tableColumn id="7" name="Kolumna5"/>
    <tableColumn id="8" name="Udział przedsiębiorstw planujących inwestycje na najbliższe 3 lata (w %)6"/>
    <tableColumn id="9" name="Kolumna7"/>
    <tableColumn id="10" name="Kolumna8"/>
    <tableColumn id="11" name="Kolumna9"/>
    <tableColumn id="12" name="Kolumna10"/>
    <tableColumn id="13" name="Kolumna11"/>
    <tableColumn id="14" name="Udział przedsiębiorstw planujących inwestycje na najbliższe 3 lata (w %)12"/>
    <tableColumn id="15" name="Kolumna13"/>
    <tableColumn id="16" name="Kolumna14"/>
    <tableColumn id="17" name="Kolumna15"/>
    <tableColumn id="18" name="Kolumna16"/>
    <tableColumn id="19" name="Kolumna17"/>
    <tableColumn id="20" name="Udział przedsiębiorstw planujących inwestycje na najbliższe 3 lata (w %)18"/>
    <tableColumn id="21" name="Kolumna19"/>
    <tableColumn id="22" name="Kolumna20"/>
    <tableColumn id="23" name="Kolumna21"/>
    <tableColumn id="24" name="Kolumna22"/>
    <tableColumn id="25" name="Kolumna23"/>
    <tableColumn id="26" name="Udział przedsiębiorstw planujących inwestycje na najbliższe 3 lata (w %) - średnio dla lat 2015-2018" dataDxfId="176" dataCellStyle="Kolumna">
      <calculatedColumnFormula>AVERAGE(AB2:AE2)</calculatedColumnFormula>
    </tableColumn>
    <tableColumn id="27" name="Kolumna24" dataDxfId="175" dataCellStyle="Kolumna">
      <calculatedColumnFormula>AVERAGE(AB2:AD2)</calculatedColumnFormula>
    </tableColumn>
    <tableColumn id="28" name="Kolumna25" dataDxfId="174" dataCellStyle="Kolumna">
      <calculatedColumnFormula>AVERAGE(D2,J2,P2,V2)</calculatedColumnFormula>
    </tableColumn>
    <tableColumn id="29" name="Kolumna26" dataDxfId="173" dataCellStyle="Kolumna">
      <calculatedColumnFormula>AVERAGE(E2,K2,Q2,W2)</calculatedColumnFormula>
    </tableColumn>
    <tableColumn id="30" name="Kolumna27" dataDxfId="172" dataCellStyle="Kolumna">
      <calculatedColumnFormula>AVERAGE(F2,L2,R2,X2)</calculatedColumnFormula>
    </tableColumn>
    <tableColumn id="31" name="Kolumna28" dataDxfId="171" dataCellStyle="Kolumna">
      <calculatedColumnFormula>AVERAGE(G2,M2,S2,Y2)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lany inwestycyjne przedsiębiorstw" altTextSummary="Tabela przedstawia plany inwestycyjne przedsiębiorstw w latach 2015-2018."/>
    </ext>
  </extLst>
</table>
</file>

<file path=xl/tables/table11.xml><?xml version="1.0" encoding="utf-8"?>
<table xmlns="http://schemas.openxmlformats.org/spreadsheetml/2006/main" id="8" name="Tabela8" displayName="Tabela8" ref="A1:U18" totalsRowShown="0" headerRowDxfId="170" dataDxfId="168" headerRowBorderDxfId="169" tableBorderDxfId="167" headerRowCellStyle="Nagłówek 1" dataCellStyle="Dziesiętny">
  <autoFilter ref="A1:U18"/>
  <tableColumns count="21">
    <tableColumn id="1" name="Nazwa jednostki terytorialnej" dataDxfId="166"/>
    <tableColumn id="2" name="Wartość umów" dataDxfId="165" dataCellStyle="Dziesiętny"/>
    <tableColumn id="3" name="Liczba pośredników" dataDxfId="164" dataCellStyle="Dziesiętny"/>
    <tableColumn id="4" name="Koszty zarządzania" dataDxfId="163" dataCellStyle="Dziesiętny"/>
    <tableColumn id="5" name="Pożyczki wypłacone" dataDxfId="162" dataCellStyle="Dziesiętny"/>
    <tableColumn id="6" name="Liczba udzielonych ogółem" dataDxfId="161" dataCellStyle="Dziesiętny"/>
    <tableColumn id="7" name="Wartość udzielonych ogółem" dataDxfId="160" dataCellStyle="Dziesiętny"/>
    <tableColumn id="8" name="Wartość średniorocznie" dataDxfId="159" dataCellStyle="Dziesiętny">
      <calculatedColumnFormula>G2/3</calculatedColumnFormula>
    </tableColumn>
    <tableColumn id="9" name="Średnia wartość ogółem" dataDxfId="158" dataCellStyle="Dziesiętny">
      <calculatedColumnFormula>G2/F2</calculatedColumnFormula>
    </tableColumn>
    <tableColumn id="10" name="Liczba - mikro" dataDxfId="157" dataCellStyle="Dziesiętny"/>
    <tableColumn id="11" name="Wartość - mikro" dataDxfId="156" dataCellStyle="Dziesiętny"/>
    <tableColumn id="12" name="Wartość średniorocznie2" dataDxfId="155" dataCellStyle="Dziesiętny">
      <calculatedColumnFormula>K2/3</calculatedColumnFormula>
    </tableColumn>
    <tableColumn id="13" name="Średnia mikro" dataDxfId="154" dataCellStyle="Dziesiętny">
      <calculatedColumnFormula>K2/J2</calculatedColumnFormula>
    </tableColumn>
    <tableColumn id="14" name="Liczba - małe" dataDxfId="153" dataCellStyle="Dziesiętny"/>
    <tableColumn id="15" name="Wartość - małe" dataDxfId="152" dataCellStyle="Dziesiętny"/>
    <tableColumn id="16" name="Wartość średniorocznie3" dataDxfId="151" dataCellStyle="Dziesiętny">
      <calculatedColumnFormula>O2/3</calculatedColumnFormula>
    </tableColumn>
    <tableColumn id="17" name="Średnia małe" dataDxfId="150" dataCellStyle="Dziesiętny">
      <calculatedColumnFormula>O2/N2</calculatedColumnFormula>
    </tableColumn>
    <tableColumn id="18" name="Liczba -średnie" dataDxfId="149" dataCellStyle="Dziesiętny"/>
    <tableColumn id="19" name="Wartość - średnie" dataDxfId="148" dataCellStyle="Dziesiętny"/>
    <tableColumn id="20" name="Wartość średniorocznie4" dataDxfId="147" dataCellStyle="Dziesiętny">
      <calculatedColumnFormula>S2/3</calculatedColumnFormula>
    </tableColumn>
    <tableColumn id="21" name="Średnia - średnie" dataDxfId="146" dataCellStyle="Dziesiętny">
      <calculatedColumnFormula>S2/R2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Wsparcie pożyczkowe dedykowane MŚP" altTextSummary="Tabela przedstawia informacje na temat liczby i wartości udzielonych pożyczek w ramach programów operacyjnych 2014-2020."/>
    </ext>
  </extLst>
</table>
</file>

<file path=xl/tables/table12.xml><?xml version="1.0" encoding="utf-8"?>
<table xmlns="http://schemas.openxmlformats.org/spreadsheetml/2006/main" id="15" name="Tabela15" displayName="Tabela15" ref="A1:BM20" totalsRowShown="0" headerRowDxfId="0" dataDxfId="2" tableBorderDxfId="1" headerRowCellStyle="Nagłówek 1">
  <autoFilter ref="A1:BM20"/>
  <tableColumns count="65">
    <tableColumn id="1" name="Nazwa jednostki terytorialnej" dataDxfId="145"/>
    <tableColumn id="2" name="Szacowana liczba przedsiębiorstw niefinansowych w 2020" dataDxfId="144">
      <calculatedColumnFormula>SUM(C2:E2)</calculatedColumnFormula>
    </tableColumn>
    <tableColumn id="3" name="Mikro" dataDxfId="143">
      <calculatedColumnFormula>'5.1.3 Przeds. niefinansowe'!V3</calculatedColumnFormula>
    </tableColumn>
    <tableColumn id="4" name="Małe" dataDxfId="142">
      <calculatedColumnFormula>'5.1.3 Przeds. niefinansowe'!W3</calculatedColumnFormula>
    </tableColumn>
    <tableColumn id="5" name="Średnie" dataDxfId="141">
      <calculatedColumnFormula>'5.1.3 Przeds. niefinansowe'!X3</calculatedColumnFormula>
    </tableColumn>
    <tableColumn id="6" name="Średni odsetek mikro planujących inwestycje" dataDxfId="140" dataCellStyle="Procentowy"/>
    <tableColumn id="7" name="Odsetek mikro planujących inwestycje" dataDxfId="139" dataCellStyle="Procentowy"/>
    <tableColumn id="8" name="Średni odsetek małych planujących inwestycje" dataDxfId="138" dataCellStyle="Procentowy"/>
    <tableColumn id="9" name="Odsetek małych planujących inwestycje" dataDxfId="137" dataCellStyle="Procentowy"/>
    <tableColumn id="10" name="Średni odsetek średnich firm planujących inwestycje" dataDxfId="136" dataCellStyle="Procentowy"/>
    <tableColumn id="11" name="Odsetek średnich firm planujących inwestycje" dataDxfId="135" dataCellStyle="Procentowy"/>
    <tableColumn id="12" name="Szacowana liczba przedsiębiorstw niefinansowych w 2020 r. planujących inwestycje" dataDxfId="134" dataCellStyle="Dziesiętny">
      <calculatedColumnFormula>SUM(M2:O2)</calculatedColumnFormula>
    </tableColumn>
    <tableColumn id="13" name="Mikro3" dataDxfId="133" dataCellStyle="Dziesiętny">
      <calculatedColumnFormula>C2*G$4</calculatedColumnFormula>
    </tableColumn>
    <tableColumn id="14" name="Małe4" dataDxfId="132" dataCellStyle="Dziesiętny">
      <calculatedColumnFormula>D2*I$4</calculatedColumnFormula>
    </tableColumn>
    <tableColumn id="15" name="Średnie4" dataDxfId="131" dataCellStyle="Dziesiętny">
      <calculatedColumnFormula>E2*K$4</calculatedColumnFormula>
    </tableColumn>
    <tableColumn id="16" name="Prognozowane nakłady  (tys.)" dataDxfId="130" dataCellStyle="Dziesiętny">
      <calculatedColumnFormula>SUM(Q2:S2)</calculatedColumnFormula>
    </tableColumn>
    <tableColumn id="17" name="Mikro4" dataDxfId="129" dataCellStyle="Dziesiętny"/>
    <tableColumn id="18" name="Małe5" dataDxfId="128" dataCellStyle="Dziesiętny"/>
    <tableColumn id="19" name="Średnie5" dataDxfId="127" dataCellStyle="Dziesiętny"/>
    <tableColumn id="20" name="Nakłady jednostkowe Mikro (tys. zł) " dataDxfId="126" dataCellStyle="Dziesiętny">
      <calculatedColumnFormula>Q2*1000/M2/1000</calculatedColumnFormula>
    </tableColumn>
    <tableColumn id="21" name="Nakłady jednostkowe Małe (tys. zł)" dataDxfId="125" dataCellStyle="Dziesiętny">
      <calculatedColumnFormula>R2*1000/N2/1000</calculatedColumnFormula>
    </tableColumn>
    <tableColumn id="22" name="Nakłady jednostkowe Średnie (tys. zł) " dataDxfId="124" dataCellStyle="Dziesiętny">
      <calculatedColumnFormula>S2*1000/O2/1000</calculatedColumnFormula>
    </tableColumn>
    <tableColumn id="23" name="Średni odsetek firm ubiegających się o kredyt" dataDxfId="123" dataCellStyle="Procentowy"/>
    <tableColumn id="24" name="Odsetek ubiegających się o kredyt" dataDxfId="122" dataCellStyle="Procentowy"/>
    <tableColumn id="25" name="Szacowana liczba firm ubiegających się o kredyt" dataDxfId="121">
      <calculatedColumnFormula>SUM(Z2:AB2)</calculatedColumnFormula>
    </tableColumn>
    <tableColumn id="26" name="Mikro2" dataDxfId="120" dataCellStyle="Dziesiętny">
      <calculatedColumnFormula>M2*X$4</calculatedColumnFormula>
    </tableColumn>
    <tableColumn id="27" name="Małe2" dataDxfId="119">
      <calculatedColumnFormula>N2*X$4</calculatedColumnFormula>
    </tableColumn>
    <tableColumn id="28" name="Średnie2" dataDxfId="118">
      <calculatedColumnFormula>O2*X$4</calculatedColumnFormula>
    </tableColumn>
    <tableColumn id="29" name="Szacowana wartość kredytu o jaką ubiegają się MŚP (w mln zł)" dataDxfId="117">
      <calculatedColumnFormula>SUM(AD2:AF2)</calculatedColumnFormula>
    </tableColumn>
    <tableColumn id="30" name="Mikro5" dataDxfId="116" dataCellStyle="Dziesiętny">
      <calculatedColumnFormula>T2*Z2/1000</calculatedColumnFormula>
    </tableColumn>
    <tableColumn id="31" name="Małe3" dataDxfId="115">
      <calculatedColumnFormula>U2*AA2/1000</calculatedColumnFormula>
    </tableColumn>
    <tableColumn id="32" name="Średnie3" dataDxfId="114">
      <calculatedColumnFormula>V2*AB2/1000</calculatedColumnFormula>
    </tableColumn>
    <tableColumn id="33" name="Średni odsetek odrzuconych wniosków" dataDxfId="113" dataCellStyle="Procentowy"/>
    <tableColumn id="34" name="Odsetek odrzuconych wniosków" dataDxfId="112" dataCellStyle="Procentowy"/>
    <tableColumn id="35" name="Szacowana liczba firm z odrzuconymi wnioskami" dataDxfId="111">
      <calculatedColumnFormula>SUM(AJ2:AL2)</calculatedColumnFormula>
    </tableColumn>
    <tableColumn id="36" name="Mikro6" dataDxfId="110">
      <calculatedColumnFormula>Z2*AH$4</calculatedColumnFormula>
    </tableColumn>
    <tableColumn id="37" name="Małe6" dataDxfId="109">
      <calculatedColumnFormula>AA2*AH$4</calculatedColumnFormula>
    </tableColumn>
    <tableColumn id="38" name="Średnie6" dataDxfId="108">
      <calculatedColumnFormula>AB2*AH$4</calculatedColumnFormula>
    </tableColumn>
    <tableColumn id="39" name="Szacowana wartość nieotrzymanego kredytu (w mln zł)" dataDxfId="107">
      <calculatedColumnFormula>SUM(AN2:AP2)</calculatedColumnFormula>
    </tableColumn>
    <tableColumn id="40" name="Mikro7" dataDxfId="106">
      <calculatedColumnFormula>AJ2*T2/1000</calculatedColumnFormula>
    </tableColumn>
    <tableColumn id="41" name="Małe7" dataDxfId="105">
      <calculatedColumnFormula>AK2*U2/1000</calculatedColumnFormula>
    </tableColumn>
    <tableColumn id="42" name="Średnie7" dataDxfId="104">
      <calculatedColumnFormula>AL2*V2/1000</calculatedColumnFormula>
    </tableColumn>
    <tableColumn id="43" name="Średni odsetek firm deklarujących brak wystarczającego zabezpieczenia kredytu" dataDxfId="103" dataCellStyle="Procentowy"/>
    <tableColumn id="44" name="Odsetek firm deklarujących brak wystarczającego zabezpieczenia kredytu" dataDxfId="102" dataCellStyle="Procentowy"/>
    <tableColumn id="45" name="Szacowana liczba firm mająca problem z zabezpieczeniem " dataDxfId="101">
      <calculatedColumnFormula>SUM(AT2:AV2)</calculatedColumnFormula>
    </tableColumn>
    <tableColumn id="46" name="Mikro8" dataDxfId="100" dataCellStyle="Dziesiętny">
      <calculatedColumnFormula>AJ2*AR$4</calculatedColumnFormula>
    </tableColumn>
    <tableColumn id="47" name="Małe8" dataDxfId="99">
      <calculatedColumnFormula>AK2*AR$4</calculatedColumnFormula>
    </tableColumn>
    <tableColumn id="48" name="Średnie8" dataDxfId="98">
      <calculatedColumnFormula>AL2*AR$4</calculatedColumnFormula>
    </tableColumn>
    <tableColumn id="49" name="Potencjalna wartość kredytów, w których występuje problem z zabezpieczeniem (w mln zł)" dataDxfId="97">
      <calculatedColumnFormula>SUM(AX2:AZ2)</calculatedColumnFormula>
    </tableColumn>
    <tableColumn id="50" name="Mikro9" dataDxfId="96" dataCellStyle="Dziesiętny">
      <calculatedColumnFormula>AT2*T2/1000</calculatedColumnFormula>
    </tableColumn>
    <tableColumn id="51" name="Małe9" dataDxfId="95">
      <calculatedColumnFormula>AU2*U2/1000</calculatedColumnFormula>
    </tableColumn>
    <tableColumn id="52" name="Średnie9" dataDxfId="94">
      <calculatedColumnFormula>AV2*V2/1000</calculatedColumnFormula>
    </tableColumn>
    <tableColumn id="53" name="% wartości kredytu zabezpieczana gwarancją" dataDxfId="93" dataCellStyle="Procentowy"/>
    <tableColumn id="54" name="Mnożnik" dataDxfId="92"/>
    <tableColumn id="55" name="Wartość kapitału niezbędnego do zapewnienia gwarancji dla kredytów, w których występuje problem z zabezpieczeniem (Luka gwarancji) w mln zł" dataDxfId="91">
      <calculatedColumnFormula>SUM(BD2:BF2)</calculatedColumnFormula>
    </tableColumn>
    <tableColumn id="56" name="Mikro10" dataDxfId="90" dataCellStyle="Dziesiętny">
      <calculatedColumnFormula>(AX2*BA$4)/BB$4</calculatedColumnFormula>
    </tableColumn>
    <tableColumn id="57" name="Małe10" dataDxfId="89">
      <calculatedColumnFormula>(AY2*BA$4)/BB$4</calculatedColumnFormula>
    </tableColumn>
    <tableColumn id="58" name="Średnie10" dataDxfId="88">
      <calculatedColumnFormula>(AZ2*BA$4)/BB$4</calculatedColumnFormula>
    </tableColumn>
    <tableColumn id="59" name="Luka pożyczek (mln zł)" dataDxfId="87">
      <calculatedColumnFormula>SUM(BH2:BJ2)</calculatedColumnFormula>
    </tableColumn>
    <tableColumn id="60" name="Mikro11" dataDxfId="86" dataCellStyle="Dziesiętny">
      <calculatedColumnFormula>AN2-BD2</calculatedColumnFormula>
    </tableColumn>
    <tableColumn id="61" name="Małe11" dataDxfId="85">
      <calculatedColumnFormula>AO2-BE2</calculatedColumnFormula>
    </tableColumn>
    <tableColumn id="62" name="Średnie11" dataDxfId="84">
      <calculatedColumnFormula>AP2-BF2</calculatedColumnFormula>
    </tableColumn>
    <tableColumn id="63" name="Luka finansowania dłużnego (mln zł)" dataDxfId="83">
      <calculatedColumnFormula>SUM(BL2:BM2)</calculatedColumnFormula>
    </tableColumn>
    <tableColumn id="64" name="Pożyczki" dataDxfId="82" dataCellStyle="Dziesiętny">
      <calculatedColumnFormula>BG2</calculatedColumnFormula>
    </tableColumn>
    <tableColumn id="65" name="Gwarancje" dataDxfId="81">
      <calculatedColumnFormula>BC2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dłużnego" altTextSummary="Tabela przedstawia sposób wyliczenia luki finansowania dłużnego w podziale na pożyczki i gwarancje."/>
    </ext>
  </extLst>
</table>
</file>

<file path=xl/tables/table13.xml><?xml version="1.0" encoding="utf-8"?>
<table xmlns="http://schemas.openxmlformats.org/spreadsheetml/2006/main" id="16" name="Tabela16" displayName="Tabela16" ref="A1:AD13" totalsRowShown="0" headerRowDxfId="80" dataDxfId="78" headerRowBorderDxfId="79" tableBorderDxfId="77" totalsRowBorderDxfId="76" headerRowCellStyle="Nagłówek 1" dataCellStyle="Dziesiętny">
  <autoFilter ref="A1:AD13"/>
  <tableColumns count="30">
    <tableColumn id="1" name="Rok" dataDxfId="75"/>
    <tableColumn id="2" name="Nakłady łącznie (w mln zł)" dataDxfId="74"/>
    <tableColumn id="3" name="Mikro" dataDxfId="73"/>
    <tableColumn id="4" name="Małe" dataDxfId="72"/>
    <tableColumn id="5" name="Średnie" dataDxfId="71"/>
    <tableColumn id="6" name="% finansowany kredytem" dataDxfId="70" dataCellStyle="Procentowy"/>
    <tableColumn id="7" name="Szacunkowa wartość kredytu (mln zł)" dataDxfId="69" dataCellStyle="Procentowy">
      <calculatedColumnFormula>SUM(H2:J2)</calculatedColumnFormula>
    </tableColumn>
    <tableColumn id="8" name="Mikro2" dataDxfId="68" dataCellStyle="Procentowy"/>
    <tableColumn id="9" name="Małe2" dataDxfId="67" dataCellStyle="Procentowy"/>
    <tableColumn id="10" name="Średnie2" dataDxfId="66" dataCellStyle="Procentowy"/>
    <tableColumn id="11" name="% odrzuconych " dataDxfId="65" dataCellStyle="Procentowy"/>
    <tableColumn id="12" name="Szacowana luka finansowania dłużnego (mln zł)" dataDxfId="64" dataCellStyle="Dziesiętny"/>
    <tableColumn id="13" name="Mikro3" dataDxfId="63" dataCellStyle="Dziesiętny"/>
    <tableColumn id="14" name="Małe3" dataDxfId="62" dataCellStyle="Dziesiętny"/>
    <tableColumn id="15" name="Średnie3" dataDxfId="61" dataCellStyle="Dziesiętny"/>
    <tableColumn id="16" name="% problem z zabezpieczeniem" dataDxfId="60" dataCellStyle="Procentowy"/>
    <tableColumn id="17" name="% zabezpieczenia kredytu" dataDxfId="59" dataCellStyle="Procentowy"/>
    <tableColumn id="18" name="Mnożnik" dataDxfId="58" dataCellStyle="Procentowy"/>
    <tableColumn id="19" name="Szacowana luka gwarancji (mln zł)" dataDxfId="57" dataCellStyle="Dziesiętny"/>
    <tableColumn id="20" name="Mikro4" dataDxfId="56" dataCellStyle="Dziesiętny"/>
    <tableColumn id="21" name="Małe4" dataDxfId="55" dataCellStyle="Dziesiętny"/>
    <tableColumn id="22" name="Średnie4" dataDxfId="54" dataCellStyle="Dziesiętny"/>
    <tableColumn id="23" name="Szacowana luka pożyczek (mln zł)" dataDxfId="53" dataCellStyle="Dziesiętny"/>
    <tableColumn id="24" name="Mikro5" dataDxfId="52" dataCellStyle="Dziesiętny"/>
    <tableColumn id="25" name="Małe5" dataDxfId="51" dataCellStyle="Dziesiętny"/>
    <tableColumn id="26" name="Średnie5" dataDxfId="50" dataCellStyle="Dziesiętny"/>
    <tableColumn id="27" name="Szacowana luka finansowania dłużnego (mln zł)16" dataDxfId="49" dataCellStyle="Dziesiętny"/>
    <tableColumn id="28" name="Mikro6" dataDxfId="48" dataCellStyle="Dziesiętny"/>
    <tableColumn id="29" name="Małe6" dataDxfId="47" dataCellStyle="Dziesiętny"/>
    <tableColumn id="30" name="Średnie6" dataDxfId="46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dłużnego w latach 2020-2029" altTextSummary="Tabela przedstawia szacowaną wartość luki finansowania dłużnego w podziale nalata 2020-2029"/>
    </ext>
  </extLst>
</table>
</file>

<file path=xl/tables/table14.xml><?xml version="1.0" encoding="utf-8"?>
<table xmlns="http://schemas.openxmlformats.org/spreadsheetml/2006/main" id="17" name="Tabela17" displayName="Tabela17" ref="A1:W18" totalsRowShown="0" headerRowDxfId="45" dataDxfId="44" tableBorderDxfId="43" headerRowCellStyle="Kolumna" dataCellStyle="Dziesiętny 2">
  <autoFilter ref="A1:W18"/>
  <tableColumns count="23">
    <tableColumn id="1" name="Nazwa jednostki terytorialnej" dataDxfId="42"/>
    <tableColumn id="2" name="Szacowana średnia, roczna liczba nowopowstałych przedsiębiorstw niefinansowych (netto) " dataDxfId="41"/>
    <tableColumn id="3" name="Odsetek firm innowacyjnych w skali rynku" dataDxfId="40" dataCellStyle="Procentowy"/>
    <tableColumn id="4" name="Szacowana liczba nowopowstałych firm innowacyjnych w skali rynku (startup)" dataDxfId="39">
      <calculatedColumnFormula>B2*C2</calculatedColumnFormula>
    </tableColumn>
    <tableColumn id="5" name="Odsetek startupów korzystajacy z finansowania zewnętrznego" dataDxfId="38" dataCellStyle="Procentowy"/>
    <tableColumn id="6" name="Szacowana liczba startupów finansujących się środkami zewnętrznymi" dataDxfId="37">
      <calculatedColumnFormula>D2*E2</calculatedColumnFormula>
    </tableColumn>
    <tableColumn id="7" name="Odsetek startupów zainteresowanych finansowaniem kapitałowym" dataDxfId="36" dataCellStyle="Procentowy"/>
    <tableColumn id="8" name="Szacowana liczba startupów zainteresowana finansowaniem kapitałowym" dataDxfId="35">
      <calculatedColumnFormula>F2*G2</calculatedColumnFormula>
    </tableColumn>
    <tableColumn id="9" name="Szacowany odsetek startupów w fazie wzrostu" dataDxfId="34" dataCellStyle="Procentowy"/>
    <tableColumn id="10" name="Liczba startupów - faza wzrostu " dataDxfId="33" dataCellStyle="Procentowy">
      <calculatedColumnFormula>H2*I2</calculatedColumnFormula>
    </tableColumn>
    <tableColumn id="11" name="Liczba startupów - faza wczesna" dataDxfId="32" dataCellStyle="Procentowy">
      <calculatedColumnFormula>H2-J2</calculatedColumnFormula>
    </tableColumn>
    <tableColumn id="12" name="Odsetek startupów uzyskujący finansowanie kapitałowe" dataDxfId="31" dataCellStyle="Procentowy"/>
    <tableColumn id="13" name="Liczba startupów, które pozyskają finansowanie - faza wzrostu" dataDxfId="30" dataCellStyle="Procentowy">
      <calculatedColumnFormula>J2*L2</calculatedColumnFormula>
    </tableColumn>
    <tableColumn id="14" name="Liczba startupów, które pozyskają finansowania - wczesna faza" dataDxfId="29" dataCellStyle="Procentowy">
      <calculatedColumnFormula>K2*L2</calculatedColumnFormula>
    </tableColumn>
    <tableColumn id="15" name="Średnia wielkość inwestycji w fazie wzrostu (tys zł)" dataDxfId="28" dataCellStyle="Procentowy"/>
    <tableColumn id="16" name="Średnia wielkość inwestycji - wczesna faza (tys. zł)" dataDxfId="27" dataCellStyle="Dziesiętny 2"/>
    <tableColumn id="17" name="Zapotrzebowanie na finansowanie kapitałowe- faza wzrostu (mln zł)" dataDxfId="26" dataCellStyle="Dziesiętny 2">
      <calculatedColumnFormula>J2*O$4/1000</calculatedColumnFormula>
    </tableColumn>
    <tableColumn id="18" name="Zapotrzebowanie na finansowanie kapitałowe- wczesna faza (mln zł)" dataDxfId="25" dataCellStyle="Dziesiętny 2">
      <calculatedColumnFormula>K2*P$4/1000</calculatedColumnFormula>
    </tableColumn>
    <tableColumn id="19" name="Uzyskane finansowanie (faza wzrostu) mln zł" dataDxfId="24" dataCellStyle="Dziesiętny 2">
      <calculatedColumnFormula>M2*O$4/1000</calculatedColumnFormula>
    </tableColumn>
    <tableColumn id="20" name="Uzsykane finansowanie (faza wczesna) mln zł" dataDxfId="23" dataCellStyle="Dziesiętny 2">
      <calculatedColumnFormula>N2*P$4/1000</calculatedColumnFormula>
    </tableColumn>
    <tableColumn id="21" name="Luka w dostępie do finansowania - faza wzrostu (mln zł)" dataDxfId="22" dataCellStyle="Dziesiętny 2">
      <calculatedColumnFormula>Q2-S2</calculatedColumnFormula>
    </tableColumn>
    <tableColumn id="22" name="Luka w dostępie do finansowania - wczesna faza (mln zł)" dataDxfId="21" dataCellStyle="Dziesiętny 2">
      <calculatedColumnFormula>R2-T2</calculatedColumnFormula>
    </tableColumn>
    <tableColumn id="23" name="Kuka kapitałowa łącznie 2020" dataDxfId="20" dataCellStyle="Dziesiętny 2">
      <calculatedColumnFormula>SUM(U2:V2)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kapitałowa dla startupów" altTextSummary="Tabela przedstawia wyliczenia dla luki kapitałowej startupów w 2020 r. z podziałem na dazę wczesną i fazę wzrostu."/>
    </ext>
  </extLst>
</table>
</file>

<file path=xl/tables/table15.xml><?xml version="1.0" encoding="utf-8"?>
<table xmlns="http://schemas.openxmlformats.org/spreadsheetml/2006/main" id="18" name="Tabela1619" displayName="Tabela1619" ref="A1:L13" totalsRowShown="0" headerRowDxfId="19" dataDxfId="17" headerRowBorderDxfId="18" tableBorderDxfId="16" totalsRowBorderDxfId="15" headerRowCellStyle="Nagłówek 1" dataCellStyle="Dziesiętny">
  <autoFilter ref="A1:L13"/>
  <tableColumns count="12">
    <tableColumn id="1" name="Rok" dataDxfId="14"/>
    <tableColumn id="2" name="Nakłady łącznie MŚP (w mln zł)" dataDxfId="13"/>
    <tableColumn id="31" name="Odsetek zapotrzebowania na finansowanie kapitałowe - faza wzrostu" dataDxfId="12">
      <calculatedColumnFormula>SUBTOTAL(109,C1)</calculatedColumnFormula>
    </tableColumn>
    <tableColumn id="3" name="Odsetek zapotrzebowania na finansowanie kapitałowe - faza wczesna" dataDxfId="11"/>
    <tableColumn id="4" name="Watość zapotrzebowania - faza wzrostu" dataDxfId="10"/>
    <tableColumn id="5" name="Watość zapotrzebowania - faza wzrostu2" dataDxfId="9"/>
    <tableColumn id="6" name="Odsetek uzyskujących finansowanie" dataDxfId="8" dataCellStyle="Procentowy"/>
    <tableColumn id="7" name="Uzyskane finansowanie - faza wzrostu" dataDxfId="7" dataCellStyle="Procentowy">
      <calculatedColumnFormula>SUM(I2:K2)</calculatedColumnFormula>
    </tableColumn>
    <tableColumn id="8" name="Uzyskane finansowanie - faza wczesna" dataDxfId="6" dataCellStyle="Procentowy"/>
    <tableColumn id="9" name="Luka kapitałowa - faza wzrostu" dataDxfId="5" dataCellStyle="Procentowy"/>
    <tableColumn id="10" name="Luka kapitałowa - faza wczesna" dataDxfId="4" dataCellStyle="Procentowy"/>
    <tableColumn id="32" name="Luka kapitałowa - razem" dataDxfId="3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uka finansowania kapitałowego  w latach 2020-2029" altTextSummary="Tabela przedstawia szacowaną wartość luki finansowania kapitałowego w podziale na lata 2020-2029"/>
    </ext>
  </extLst>
</table>
</file>

<file path=xl/tables/table2.xml><?xml version="1.0" encoding="utf-8"?>
<table xmlns="http://schemas.openxmlformats.org/spreadsheetml/2006/main" id="3" name="Tabela3" displayName="Tabela3" ref="A1:M20" totalsRowShown="0" headerRowDxfId="460" dataDxfId="459" tableBorderDxfId="458" totalsRowBorderDxfId="457" headerRowCellStyle="Nagłówek 1" dataCellStyle="Normalny 2">
  <autoFilter ref="A1:M20"/>
  <tableColumns count="13">
    <tableColumn id="1" name="Nazwa" dataDxfId="456" dataCellStyle="Normalny 2"/>
    <tableColumn id="2" name="2019" dataDxfId="455" dataCellStyle="Normalny 2">
      <calculatedColumnFormula>B$2*'5.1.1 PKB'!C2</calculatedColumnFormula>
    </tableColumn>
    <tableColumn id="3" name="2020" dataDxfId="454" dataCellStyle="Normalny 2">
      <calculatedColumnFormula>C$2*'5.1.1 PKB'!D2</calculatedColumnFormula>
    </tableColumn>
    <tableColumn id="4" name="2021" dataDxfId="453" dataCellStyle="Normalny 2">
      <calculatedColumnFormula>D$2*'5.1.1 PKB'!E2</calculatedColumnFormula>
    </tableColumn>
    <tableColumn id="5" name="2022" dataDxfId="452" dataCellStyle="Normalny 2">
      <calculatedColumnFormula>E$2*'5.1.1 PKB'!F2</calculatedColumnFormula>
    </tableColumn>
    <tableColumn id="6" name="2023" dataDxfId="451" dataCellStyle="Normalny 2">
      <calculatedColumnFormula>F$2*'5.1.1 PKB'!G2</calculatedColumnFormula>
    </tableColumn>
    <tableColumn id="7" name="2024" dataDxfId="450" dataCellStyle="Normalny 2">
      <calculatedColumnFormula>G$2*'5.1.1 PKB'!H2</calculatedColumnFormula>
    </tableColumn>
    <tableColumn id="8" name="2025" dataDxfId="449" dataCellStyle="Normalny 2">
      <calculatedColumnFormula>H$2*'5.1.1 PKB'!I2</calculatedColumnFormula>
    </tableColumn>
    <tableColumn id="9" name="2026" dataDxfId="448" dataCellStyle="Normalny 2">
      <calculatedColumnFormula>I$2*'5.1.1 PKB'!J2</calculatedColumnFormula>
    </tableColumn>
    <tableColumn id="10" name="2027" dataDxfId="447" dataCellStyle="Normalny 2">
      <calculatedColumnFormula>J$2*'5.1.1 PKB'!K2</calculatedColumnFormula>
    </tableColumn>
    <tableColumn id="11" name="2028" dataDxfId="446" dataCellStyle="Normalny 2">
      <calculatedColumnFormula>K$2*'5.1.1 PKB'!L2</calculatedColumnFormula>
    </tableColumn>
    <tableColumn id="12" name="2029" dataDxfId="445" dataCellStyle="Normalny 2">
      <calculatedColumnFormula>L$2*'5.1.1 PKB'!M2</calculatedColumnFormula>
    </tableColumn>
    <tableColumn id="13" name="2030" dataDxfId="444" dataCellStyle="Normalny 2">
      <calculatedColumnFormula>M$2*'5.1.1 PKB'!N2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na B+R" altTextSummary="Tabela przedstawia prognozowane nakłady na B+R w relacji do PKB dla lat 2019-2030."/>
    </ext>
  </extLst>
</table>
</file>

<file path=xl/tables/table3.xml><?xml version="1.0" encoding="utf-8"?>
<table xmlns="http://schemas.openxmlformats.org/spreadsheetml/2006/main" id="5" name="Tabela5" displayName="Tabela5" ref="A1:BO18" totalsRowShown="0" headerRowDxfId="443" dataDxfId="442" tableBorderDxfId="441" headerRowCellStyle="Nagłówek 1" dataCellStyle="Dziesiętny">
  <autoFilter ref="A1:BO18"/>
  <tableColumns count="67">
    <tableColumn id="1" name="Nazwa jednostki terytorialnej" dataDxfId="440"/>
    <tableColumn id="2" name="Nakłady na rzeczowe aktywa trwałe w 2018 - Ogółem (w tys. zł)" dataDxfId="439" dataCellStyle="Dziesiętny"/>
    <tableColumn id="3" name="MŚP" dataDxfId="438" dataCellStyle="Dziesiętny">
      <calculatedColumnFormula>SUM(D2:F2)</calculatedColumnFormula>
    </tableColumn>
    <tableColumn id="4" name="Mikro" dataDxfId="437" dataCellStyle="Dziesiętny"/>
    <tableColumn id="5" name="Małe" dataDxfId="436" dataCellStyle="Dziesiętny"/>
    <tableColumn id="6" name="Średnie" dataDxfId="435" dataCellStyle="Dziesiętny"/>
    <tableColumn id="7" name="Duże" dataDxfId="434" dataCellStyle="Dziesiętny"/>
    <tableColumn id="8" name="Nakłady na kapitał obrotowy w 2018 - Ogółem (w tys. zł)" dataDxfId="433" dataCellStyle="Dziesiętny">
      <calculatedColumnFormula>SUM(J2:M2)</calculatedColumnFormula>
    </tableColumn>
    <tableColumn id="9" name="MŚP2" dataDxfId="432" dataCellStyle="Dziesiętny">
      <calculatedColumnFormula>SUM(J2:L2)</calculatedColumnFormula>
    </tableColumn>
    <tableColumn id="10" name="Mikro2" dataDxfId="431" dataCellStyle="Dziesiętny">
      <calculatedColumnFormula>D2*40/60</calculatedColumnFormula>
    </tableColumn>
    <tableColumn id="11" name="Małe2" dataDxfId="430" dataCellStyle="Dziesiętny">
      <calculatedColumnFormula>E2*40/60</calculatedColumnFormula>
    </tableColumn>
    <tableColumn id="12" name="Średnie2" dataDxfId="429" dataCellStyle="Dziesiętny">
      <calculatedColumnFormula>F2*40/60</calculatedColumnFormula>
    </tableColumn>
    <tableColumn id="13" name="Duże2" dataDxfId="428" dataCellStyle="Dziesiętny">
      <calculatedColumnFormula>G2*40/60</calculatedColumnFormula>
    </tableColumn>
    <tableColumn id="14" name="Nakłady na B+R w 2018 - Ogółem (w tys. zł)" dataDxfId="427" dataCellStyle="Dziesiętny"/>
    <tableColumn id="15" name="MŚP3" dataDxfId="426" dataCellStyle="Dziesiętny">
      <calculatedColumnFormula>SUM(P2:R2)</calculatedColumnFormula>
    </tableColumn>
    <tableColumn id="16" name="Mikro3" dataDxfId="425" dataCellStyle="Dziesiętny">
      <calculatedColumnFormula>N2*2.6%</calculatedColumnFormula>
    </tableColumn>
    <tableColumn id="17" name="Małe3" dataDxfId="424" dataCellStyle="Dziesiętny">
      <calculatedColumnFormula>N2*9.9%</calculatedColumnFormula>
    </tableColumn>
    <tableColumn id="18" name="Średnie3" dataDxfId="423" dataCellStyle="Dziesiętny">
      <calculatedColumnFormula>N2*20.7%</calculatedColumnFormula>
    </tableColumn>
    <tableColumn id="19" name="Duże3" dataDxfId="422" dataCellStyle="Dziesiętny">
      <calculatedColumnFormula>N2*66.8%</calculatedColumnFormula>
    </tableColumn>
    <tableColumn id="20" name="Nakłady razem w 2018 - Ogółem (w tys. zł)" dataDxfId="421" dataCellStyle="Dziesiętny">
      <calculatedColumnFormula>SUM(V2:Y2)</calculatedColumnFormula>
    </tableColumn>
    <tableColumn id="21" name="MŚP4" dataDxfId="420" dataCellStyle="Dziesiętny">
      <calculatedColumnFormula>SUM(V2:X2)</calculatedColumnFormula>
    </tableColumn>
    <tableColumn id="22" name="Mikro4" dataDxfId="419" dataCellStyle="Dziesiętny">
      <calculatedColumnFormula>SUM(D2,J2,P2)</calculatedColumnFormula>
    </tableColumn>
    <tableColumn id="23" name="Małe4" dataDxfId="418" dataCellStyle="Dziesiętny">
      <calculatedColumnFormula>SUM(E2,K2,Q2)</calculatedColumnFormula>
    </tableColumn>
    <tableColumn id="24" name="Średnie4" dataDxfId="417" dataCellStyle="Dziesiętny">
      <calculatedColumnFormula>SUM(F2,L2,R2)</calculatedColumnFormula>
    </tableColumn>
    <tableColumn id="25" name="Duże4" dataDxfId="416" dataCellStyle="Dziesiętny">
      <calculatedColumnFormula>SUM(G2,M2,S2)</calculatedColumnFormula>
    </tableColumn>
    <tableColumn id="26" name="Odsetek przedsiębiorst w nakładach w 2018 - Ogółem (w tys. zł)" dataDxfId="415" dataCellStyle="Procentowy"/>
    <tableColumn id="27" name="MŚP5" dataDxfId="414" dataCellStyle="Procentowy">
      <calculatedColumnFormula>U2/T2</calculatedColumnFormula>
    </tableColumn>
    <tableColumn id="28" name="Mikro5" dataDxfId="413" dataCellStyle="Procentowy">
      <calculatedColumnFormula>V2/T2</calculatedColumnFormula>
    </tableColumn>
    <tableColumn id="29" name="Małe5" dataDxfId="412" dataCellStyle="Procentowy">
      <calculatedColumnFormula>W2/T2</calculatedColumnFormula>
    </tableColumn>
    <tableColumn id="30" name="Średnie5" dataDxfId="411" dataCellStyle="Procentowy">
      <calculatedColumnFormula>X2/T2</calculatedColumnFormula>
    </tableColumn>
    <tableColumn id="31" name="Duże5" dataDxfId="410" dataCellStyle="Procentowy">
      <calculatedColumnFormula>Y2/T2</calculatedColumnFormula>
    </tableColumn>
    <tableColumn id="32" name="Szacowane nakłady na rzeczowe aktywa trwałe w 2019 - Ogółem (w tys. zł)" dataDxfId="409" dataCellStyle="Dziesiętny">
      <calculatedColumnFormula>SUM(AH2:AK2)</calculatedColumnFormula>
    </tableColumn>
    <tableColumn id="33" name="MŚP6" dataDxfId="408" dataCellStyle="Dziesiętny">
      <calculatedColumnFormula>SUM(AH2:AJ2)</calculatedColumnFormula>
    </tableColumn>
    <tableColumn id="34" name="Mikro6" dataDxfId="407" dataCellStyle="Dziesiętny">
      <calculatedColumnFormula>D2*106.6%</calculatedColumnFormula>
    </tableColumn>
    <tableColumn id="35" name="Małe6" dataDxfId="406" dataCellStyle="Dziesiętny">
      <calculatedColumnFormula>E2*106.6%</calculatedColumnFormula>
    </tableColumn>
    <tableColumn id="36" name="Średnie6" dataDxfId="405" dataCellStyle="Dziesiętny">
      <calculatedColumnFormula>F2*106.6%</calculatedColumnFormula>
    </tableColumn>
    <tableColumn id="37" name="Duże6" dataDxfId="404" dataCellStyle="Dziesiętny">
      <calculatedColumnFormula>G2*106.6%</calculatedColumnFormula>
    </tableColumn>
    <tableColumn id="38" name="Prognozowane nakłady na rzeczowe aktywa trwałe w 2020 - Ogółem (w tys. zł)" dataDxfId="403" dataCellStyle="Dziesiętny">
      <calculatedColumnFormula>SUM(AN2:AQ2)</calculatedColumnFormula>
    </tableColumn>
    <tableColumn id="39" name="MŚP7" dataDxfId="402" dataCellStyle="Dziesiętny">
      <calculatedColumnFormula>SUM(AN2:AP2)</calculatedColumnFormula>
    </tableColumn>
    <tableColumn id="40" name="Mikro7" dataDxfId="401" dataCellStyle="Dziesiętny">
      <calculatedColumnFormula>AH2*102.68%</calculatedColumnFormula>
    </tableColumn>
    <tableColumn id="41" name="Małe7" dataDxfId="400" dataCellStyle="Dziesiętny">
      <calculatedColumnFormula>AI2*102.68%</calculatedColumnFormula>
    </tableColumn>
    <tableColumn id="42" name="Średnie7" dataDxfId="399" dataCellStyle="Dziesiętny">
      <calculatedColumnFormula>AJ2*102.68%</calculatedColumnFormula>
    </tableColumn>
    <tableColumn id="43" name="Duże7" dataDxfId="398" dataCellStyle="Dziesiętny">
      <calculatedColumnFormula>AK2*102.68%</calculatedColumnFormula>
    </tableColumn>
    <tableColumn id="44" name="Nakłady na kapitał obrotowy w 2020 - Ogółem (w tys. zł)" dataDxfId="397" dataCellStyle="Dziesiętny">
      <calculatedColumnFormula>SUM(AT2:AW2)</calculatedColumnFormula>
    </tableColumn>
    <tableColumn id="45" name="MŚP8" dataDxfId="396" dataCellStyle="Dziesiętny">
      <calculatedColumnFormula>SUM(AT2:AV2)</calculatedColumnFormula>
    </tableColumn>
    <tableColumn id="46" name="Mikro8" dataDxfId="395" dataCellStyle="Dziesiętny">
      <calculatedColumnFormula>AN2*40/60</calculatedColumnFormula>
    </tableColumn>
    <tableColumn id="47" name="Małe8" dataDxfId="394" dataCellStyle="Dziesiętny">
      <calculatedColumnFormula>AO2*40/60</calculatedColumnFormula>
    </tableColumn>
    <tableColumn id="48" name="Średnie8" dataDxfId="393" dataCellStyle="Dziesiętny">
      <calculatedColumnFormula>AP2*40/60</calculatedColumnFormula>
    </tableColumn>
    <tableColumn id="49" name="Duże8" dataDxfId="392" dataCellStyle="Dziesiętny">
      <calculatedColumnFormula>AQ2*40/60</calculatedColumnFormula>
    </tableColumn>
    <tableColumn id="50" name="Nakłady na B+R w 2019 - Ogółem (w tys. zł)" dataDxfId="391" dataCellStyle="Dziesiętny">
      <calculatedColumnFormula>'5.1.1 Nakłady B+R'!B2*1000</calculatedColumnFormula>
    </tableColumn>
    <tableColumn id="51" name="MŚP9" dataDxfId="390" dataCellStyle="Dziesiętny">
      <calculatedColumnFormula>SUM(AZ2:BB2)</calculatedColumnFormula>
    </tableColumn>
    <tableColumn id="52" name="Mikro9" dataDxfId="389" dataCellStyle="Dziesiętny">
      <calculatedColumnFormula>AX2*2.82%</calculatedColumnFormula>
    </tableColumn>
    <tableColumn id="53" name="Małe9" dataDxfId="388" dataCellStyle="Dziesiętny">
      <calculatedColumnFormula>AX2*9.69%</calculatedColumnFormula>
    </tableColumn>
    <tableColumn id="54" name="Średnie9" dataDxfId="387" dataCellStyle="Dziesiętny">
      <calculatedColumnFormula>AX2*21.54%</calculatedColumnFormula>
    </tableColumn>
    <tableColumn id="55" name="Duże9" dataDxfId="386" dataCellStyle="Dziesiętny">
      <calculatedColumnFormula>AX2*65.95%</calculatedColumnFormula>
    </tableColumn>
    <tableColumn id="56" name="Nakłady na B+R w 2020 - Ogółem  (w tys. zł)" dataDxfId="385" dataCellStyle="Dziesiętny">
      <calculatedColumnFormula>'5.1.1 Nakłady B+R'!C2*1000</calculatedColumnFormula>
    </tableColumn>
    <tableColumn id="57" name="MŚP10" dataDxfId="384" dataCellStyle="Dziesiętny">
      <calculatedColumnFormula>SUM(BF2:BH2)</calculatedColumnFormula>
    </tableColumn>
    <tableColumn id="58" name="Mikro10" dataDxfId="383" dataCellStyle="Dziesiętny">
      <calculatedColumnFormula>BD2*2.82%</calculatedColumnFormula>
    </tableColumn>
    <tableColumn id="59" name="Małe10" dataDxfId="382" dataCellStyle="Dziesiętny">
      <calculatedColumnFormula>BD2*9.69%</calculatedColumnFormula>
    </tableColumn>
    <tableColumn id="60" name="Średnie10" dataDxfId="381" dataCellStyle="Dziesiętny">
      <calculatedColumnFormula>BD2*21.54%</calculatedColumnFormula>
    </tableColumn>
    <tableColumn id="61" name="Duże10" dataDxfId="380" dataCellStyle="Dziesiętny">
      <calculatedColumnFormula>BD2*65.95%</calculatedColumnFormula>
    </tableColumn>
    <tableColumn id="62" name="Nakłady łącznie w 2020 - Ogółem (w tys. zł)" dataDxfId="379" dataCellStyle="Dziesiętny">
      <calculatedColumnFormula>SUM(BL2:BO2)</calculatedColumnFormula>
    </tableColumn>
    <tableColumn id="63" name="MŚP11" dataDxfId="378" dataCellStyle="Dziesiętny">
      <calculatedColumnFormula>SUM(BL2:BN2)</calculatedColumnFormula>
    </tableColumn>
    <tableColumn id="64" name="Mikro11" dataDxfId="377" dataCellStyle="Dziesiętny">
      <calculatedColumnFormula>BF2+AT2+AN2</calculatedColumnFormula>
    </tableColumn>
    <tableColumn id="65" name="Małe11" dataDxfId="376" dataCellStyle="Dziesiętny">
      <calculatedColumnFormula>BG2+AU2+AO2</calculatedColumnFormula>
    </tableColumn>
    <tableColumn id="66" name="Średnie11" dataDxfId="375" dataCellStyle="Dziesiętny">
      <calculatedColumnFormula>BH2+AV2+AP2</calculatedColumnFormula>
    </tableColumn>
    <tableColumn id="67" name="Duże11" dataDxfId="374" dataCellStyle="Dziesiętny">
      <calculatedColumnFormula>BI2+AW2+AQ2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finansowe przedsiębiorstw razem" altTextSummary="Tabela przedstawia historyczne oraz szacowane nakłady na rzeczowe aktywa trwałe, obrotowe i B+R w latach 2018- 2020. Dane dla kraju i poszczególnych województw."/>
    </ext>
  </extLst>
</table>
</file>

<file path=xl/tables/table4.xml><?xml version="1.0" encoding="utf-8"?>
<table xmlns="http://schemas.openxmlformats.org/spreadsheetml/2006/main" id="2" name="Tabela2" displayName="Tabela2" ref="A1:Y12" totalsRowShown="0" headerRowDxfId="373" dataDxfId="372" tableBorderDxfId="371" headerRowCellStyle="Nagłówek 1" dataCellStyle="Dziesiętny">
  <autoFilter ref="A1:Y12"/>
  <tableColumns count="25">
    <tableColumn id="1" name="Rok" dataDxfId="370"/>
    <tableColumn id="2" name="Nakłady na rzeczowe aktywa trwałe - Ogółem (w mln zł) " dataDxfId="369" dataCellStyle="Dziesiętny"/>
    <tableColumn id="3" name="MŚP" dataDxfId="368" dataCellStyle="Dziesiętny"/>
    <tableColumn id="4" name="Mikro" dataDxfId="367" dataCellStyle="Dziesiętny"/>
    <tableColumn id="5" name="Małe" dataDxfId="366" dataCellStyle="Dziesiętny"/>
    <tableColumn id="6" name="Średnie" dataDxfId="365" dataCellStyle="Dziesiętny"/>
    <tableColumn id="7" name="Duże" dataDxfId="364" dataCellStyle="Dziesiętny"/>
    <tableColumn id="8" name="Nakłady na kapitał obrotowy - Ogółem (mln zł)" dataDxfId="363" dataCellStyle="Dziesiętny"/>
    <tableColumn id="9" name="MŚP2" dataDxfId="362" dataCellStyle="Dziesiętny"/>
    <tableColumn id="10" name="Mikro2" dataDxfId="361" dataCellStyle="Dziesiętny"/>
    <tableColumn id="11" name="Małe2" dataDxfId="360" dataCellStyle="Dziesiętny"/>
    <tableColumn id="12" name="Średnie2" dataDxfId="359" dataCellStyle="Dziesiętny"/>
    <tableColumn id="13" name="Duże2" dataDxfId="358" dataCellStyle="Dziesiętny"/>
    <tableColumn id="14" name="Nakłady na B+R - Ogółem  (mln zł)" dataDxfId="357" dataCellStyle="Dziesiętny"/>
    <tableColumn id="15" name="MŚP3" dataDxfId="356" dataCellStyle="Dziesiętny"/>
    <tableColumn id="16" name="Mikro3" dataDxfId="355" dataCellStyle="Dziesiętny"/>
    <tableColumn id="17" name="Małe3" dataDxfId="354" dataCellStyle="Dziesiętny"/>
    <tableColumn id="18" name="Średnie3" dataDxfId="353" dataCellStyle="Dziesiętny"/>
    <tableColumn id="19" name="Duże3" dataDxfId="352" dataCellStyle="Dziesiętny"/>
    <tableColumn id="20" name="Nakłady łącznie - Ogółem (mln zł) " dataDxfId="351" dataCellStyle="Dziesiętny"/>
    <tableColumn id="21" name="MŚP4" dataDxfId="350" dataCellStyle="Dziesiętny"/>
    <tableColumn id="22" name="Mikro4" dataDxfId="349" dataCellStyle="Dziesiętny"/>
    <tableColumn id="23" name="Małe4" dataDxfId="348" dataCellStyle="Dziesiętny"/>
    <tableColumn id="24" name="Średnie4" dataDxfId="347" dataCellStyle="Dziesiętny"/>
    <tableColumn id="25" name="Duże4" dataDxfId="346" dataCellStyle="Dziesiętny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Nakłady finansowe w latach 2020-2029" altTextSummary="Tabela przedstawia wartość nakładów na rzeczowe aktywa trwałe, na kapitał obrotowy oraz na B+R w latach 2020-2029."/>
    </ext>
  </extLst>
</table>
</file>

<file path=xl/tables/table5.xml><?xml version="1.0" encoding="utf-8"?>
<table xmlns="http://schemas.openxmlformats.org/spreadsheetml/2006/main" id="4" name="Tabela4" displayName="Tabela4" ref="A1:AG20" totalsRowShown="0" headerRowDxfId="345" dataDxfId="343" headerRowBorderDxfId="344" tableBorderDxfId="342" headerRowCellStyle="Nagłówek 1">
  <autoFilter ref="A1:AG20"/>
  <tableColumns count="33">
    <tableColumn id="1" name="Oznaczenie"/>
    <tableColumn id="2" name="Potrzeby Inw. MŚP (mln zł)"/>
    <tableColumn id="3" name="Potrzeby Inw. Duże (mln zł)" dataDxfId="341"/>
    <tableColumn id="4" name="Potrzeby Inw. Razem (mln zł)" dataDxfId="340">
      <calculatedColumnFormula>SUM(B2:C2)</calculatedColumnFormula>
    </tableColumn>
    <tableColumn id="5" name="Potrzeby Obrotowe MŚP (mln zł)" dataDxfId="339">
      <calculatedColumnFormula>B2*40/60</calculatedColumnFormula>
    </tableColumn>
    <tableColumn id="6" name="Potrzeby Obrotowe Duże (mln zł)" dataDxfId="338">
      <calculatedColumnFormula>C2*40/60</calculatedColumnFormula>
    </tableColumn>
    <tableColumn id="7" name="Potrzeby Obrotowe Razem (mln zł)" dataDxfId="337">
      <calculatedColumnFormula>D2*40/60</calculatedColumnFormula>
    </tableColumn>
    <tableColumn id="8" name="Potrzeby inw-obr. MŚP (mln zł)" dataDxfId="336">
      <calculatedColumnFormula>SUM(B2,E2)</calculatedColumnFormula>
    </tableColumn>
    <tableColumn id="9" name="Potrzeby inw-obr. Duże (mln zł)" dataDxfId="335">
      <calculatedColumnFormula>C2+F2</calculatedColumnFormula>
    </tableColumn>
    <tableColumn id="10" name="Potrzeby inw-obr. Razem (mln zł)" dataDxfId="334">
      <calculatedColumnFormula>SUM(H2:I2)</calculatedColumnFormula>
    </tableColumn>
    <tableColumn id="11" name="Potrzeby B+R MŚP (mln zł)" dataDxfId="333"/>
    <tableColumn id="12" name="Potrzeby B+R Duże (mln zł)" dataDxfId="332"/>
    <tableColumn id="13" name="Potrzeby B+R Razem (mln zł)" dataDxfId="331">
      <calculatedColumnFormula>SUM(K2:L2)</calculatedColumnFormula>
    </tableColumn>
    <tableColumn id="14" name="Łączne potrzeby MŚP (mln zł)" dataDxfId="330">
      <calculatedColumnFormula>H2+K2</calculatedColumnFormula>
    </tableColumn>
    <tableColumn id="15" name="Łączne potrzeby Duże (mln zł)" dataDxfId="329">
      <calculatedColumnFormula>I2+L2</calculatedColumnFormula>
    </tableColumn>
    <tableColumn id="16" name="Łączne potrzeby Razem (mln zł)" dataDxfId="328">
      <calculatedColumnFormula>SUM(N2:O2)</calculatedColumnFormula>
    </tableColumn>
    <tableColumn id="17" name="Finansowanie zew. inw-obr. (29%) MŚP" dataDxfId="327">
      <calculatedColumnFormula>H2*29%</calculatedColumnFormula>
    </tableColumn>
    <tableColumn id="18" name="Finansowanie zew. inw-obr. (29%) Duże" dataDxfId="326">
      <calculatedColumnFormula>I2*29%</calculatedColumnFormula>
    </tableColumn>
    <tableColumn id="19" name="Finansowanie zew. inw-obr. (29%) Razem" dataDxfId="325">
      <calculatedColumnFormula>SUM(Q2:R2)</calculatedColumnFormula>
    </tableColumn>
    <tableColumn id="20" name="Finansowanie zew. B+R (23%) MŚP" dataDxfId="324">
      <calculatedColumnFormula>K2*23%</calculatedColumnFormula>
    </tableColumn>
    <tableColumn id="21" name="Finansowanie zew. B+R (23%) Duże" dataDxfId="323">
      <calculatedColumnFormula>L2*23%</calculatedColumnFormula>
    </tableColumn>
    <tableColumn id="22" name="Finansowanie zew. B+R (23%) Razem" dataDxfId="322">
      <calculatedColumnFormula>SUM(T2:U2)</calculatedColumnFormula>
    </tableColumn>
    <tableColumn id="23" name="Finansowanie zew. Razem MŚP (mln zł)" dataDxfId="321">
      <calculatedColumnFormula>SUM(Q2,T2)</calculatedColumnFormula>
    </tableColumn>
    <tableColumn id="24" name="Finansowanie zew. Razem Duże (mln zł)" dataDxfId="320">
      <calculatedColumnFormula>R2+U2</calculatedColumnFormula>
    </tableColumn>
    <tableColumn id="25" name="Finansowanie zew. Razem Razem (mln zł)" dataDxfId="319">
      <calculatedColumnFormula>SUM(W2:X2)</calculatedColumnFormula>
    </tableColumn>
    <tableColumn id="26" name="Kredyt MŚP" dataDxfId="318">
      <calculatedColumnFormula>W2*Z$2</calculatedColumnFormula>
    </tableColumn>
    <tableColumn id="27" name="Dotacje MŚP" dataDxfId="317">
      <calculatedColumnFormula>W2*AA$2</calculatedColumnFormula>
    </tableColumn>
    <tableColumn id="28" name="leasing MŚP" dataDxfId="316" dataCellStyle="Dziesiętny">
      <calculatedColumnFormula>W2*AB$2</calculatedColumnFormula>
    </tableColumn>
    <tableColumn id="29" name="Inne MŚP" dataDxfId="315">
      <calculatedColumnFormula>W2*AC$2</calculatedColumnFormula>
    </tableColumn>
    <tableColumn id="30" name="Kredyt Duże" dataDxfId="314">
      <calculatedColumnFormula>X2*AD$2</calculatedColumnFormula>
    </tableColumn>
    <tableColumn id="31" name="Dotacje Duże" dataDxfId="313">
      <calculatedColumnFormula>X2*AE$2</calculatedColumnFormula>
    </tableColumn>
    <tableColumn id="32" name="leasing Duże" dataDxfId="312" dataCellStyle="Dziesiętny">
      <calculatedColumnFormula>X2*AF$2</calculatedColumnFormula>
    </tableColumn>
    <tableColumn id="33" name="Inne Duże" dataDxfId="311">
      <calculatedColumnFormula>X2*AG$2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Zewnętrzne źródła finansowania" altTextSummary="Tabela przedstawia dane na temat zewnętrznych źródeł finansowania działalności w 2020 r."/>
    </ext>
  </extLst>
</table>
</file>

<file path=xl/tables/table6.xml><?xml version="1.0" encoding="utf-8"?>
<table xmlns="http://schemas.openxmlformats.org/spreadsheetml/2006/main" id="11" name="Tabela11" displayName="Tabela11" ref="A1:X13" totalsRowShown="0" headerRowDxfId="310" dataDxfId="309" tableBorderDxfId="308" headerRowCellStyle="Nagłówek 1">
  <autoFilter ref="A1:X13"/>
  <tableColumns count="24">
    <tableColumn id="1" name="Rok" dataDxfId="307"/>
    <tableColumn id="2" name="Potrzeby B+R" dataDxfId="306"/>
    <tableColumn id="3" name="Potrzeby B+R " dataDxfId="305"/>
    <tableColumn id="4" name="Potrzeby B+R2" dataDxfId="304"/>
    <tableColumn id="5" name="% zew. " dataDxfId="303"/>
    <tableColumn id="6" name="Finansowanie zew. B+R " dataDxfId="302"/>
    <tableColumn id="7" name="Finansowanie zew. B+R 2" dataDxfId="301"/>
    <tableColumn id="8" name="Finansowanie zew. B+R 3" dataDxfId="300"/>
    <tableColumn id="9" name="Potrzeby obrotowe" dataDxfId="299"/>
    <tableColumn id="10" name="Potrzeby obrotowe2" dataDxfId="298"/>
    <tableColumn id="11" name="Potrzeby obrotowe3" dataDxfId="297"/>
    <tableColumn id="12" name="Potrzeby inwestycyjne" dataDxfId="296"/>
    <tableColumn id="13" name="Potrzeby inwestycyjne2" dataDxfId="295"/>
    <tableColumn id="14" name="Potrzeby inwestycyjne3" dataDxfId="294"/>
    <tableColumn id="15" name="Potrzeby inwestycyjno-obrotowe" dataDxfId="293"/>
    <tableColumn id="16" name="Potrzeby inwestycyjno-obrotowe2" dataDxfId="292"/>
    <tableColumn id="17" name="Potrzeby inwestycyjno-obrotowe3" dataDxfId="291">
      <calculatedColumnFormula>SUM(O2:P2)</calculatedColumnFormula>
    </tableColumn>
    <tableColumn id="18" name="% zew." dataDxfId="290"/>
    <tableColumn id="19" name="Finansowanie zew. (inw.-obr)" dataDxfId="289"/>
    <tableColumn id="20" name="Finansowanie zew. (inw.-obr)2" dataDxfId="288"/>
    <tableColumn id="21" name="Finansowanie zew. (inw.-obr)3" dataDxfId="287"/>
    <tableColumn id="22" name="Finansowanie zew. Razem" dataDxfId="286"/>
    <tableColumn id="23" name="Finansowanie zew. Razem2" dataDxfId="285"/>
    <tableColumn id="24" name="Finansowanie zew. Razem3" dataDxfId="284">
      <calculatedColumnFormula>SUM(V2:W2)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Żródła finansowania zewnętrznego w latach 2020-2029" altTextSummary="Tabela przedstawia wielkość finansowania zewnętrznego w latach 2020-2029."/>
    </ext>
  </extLst>
</table>
</file>

<file path=xl/tables/table7.xml><?xml version="1.0" encoding="utf-8"?>
<table xmlns="http://schemas.openxmlformats.org/spreadsheetml/2006/main" id="12" name="Tabela12" displayName="Tabela12" ref="A1:AY21" totalsRowShown="0" headerRowDxfId="283" dataDxfId="282" tableBorderDxfId="281" dataCellStyle="Procentowy">
  <autoFilter ref="A1:AY21"/>
  <tableColumns count="51">
    <tableColumn id="1" name="Oznaczenie" dataDxfId="280"/>
    <tableColumn id="2" name="I" dataDxfId="279" dataCellStyle="Dziesiętny"/>
    <tableColumn id="3" name="Kolumna1" dataDxfId="278" dataCellStyle="Dziesiętny"/>
    <tableColumn id="4" name="Kolumna2" dataDxfId="277" dataCellStyle="Dziesiętny"/>
    <tableColumn id="5" name="Kolumna3" dataDxfId="276" dataCellStyle="Dziesiętny"/>
    <tableColumn id="6" name="Kolumna4" dataDxfId="275" dataCellStyle="Dziesiętny"/>
    <tableColumn id="7" name="II" dataDxfId="274" dataCellStyle="Dziesiętny"/>
    <tableColumn id="8" name="Kolumna5" dataDxfId="273" dataCellStyle="Dziesiętny"/>
    <tableColumn id="9" name="Kolumna6" dataDxfId="272" dataCellStyle="Dziesiętny"/>
    <tableColumn id="10" name="Kolumna7" dataDxfId="271" dataCellStyle="Dziesiętny"/>
    <tableColumn id="11" name="Kolumna8" dataDxfId="270" dataCellStyle="Dziesiętny"/>
    <tableColumn id="12" name="III" dataDxfId="269" dataCellStyle="Procentowy">
      <calculatedColumnFormula>G2/B2</calculatedColumnFormula>
    </tableColumn>
    <tableColumn id="13" name="Kolumna9" dataDxfId="268" dataCellStyle="Procentowy">
      <calculatedColumnFormula>H2/C2</calculatedColumnFormula>
    </tableColumn>
    <tableColumn id="14" name="Kolumna10" dataDxfId="267" dataCellStyle="Procentowy">
      <calculatedColumnFormula>I2/D2</calculatedColumnFormula>
    </tableColumn>
    <tableColumn id="15" name="Kolumna11" dataDxfId="266" dataCellStyle="Procentowy">
      <calculatedColumnFormula>J2/E2</calculatedColumnFormula>
    </tableColumn>
    <tableColumn id="16" name="Kolumna12" dataDxfId="265" dataCellStyle="Procentowy">
      <calculatedColumnFormula>K2/F2</calculatedColumnFormula>
    </tableColumn>
    <tableColumn id="17" name="IV" dataDxfId="264" dataCellStyle="Dziesiętny"/>
    <tableColumn id="18" name="Kolumna13" dataDxfId="263" dataCellStyle="Dziesiętny"/>
    <tableColumn id="19" name="Kolumna14" dataDxfId="262" dataCellStyle="Dziesiętny"/>
    <tableColumn id="20" name="Kolumna15" dataDxfId="261" dataCellStyle="Dziesiętny"/>
    <tableColumn id="21" name="Kolumna16" dataDxfId="260" dataCellStyle="Dziesiętny"/>
    <tableColumn id="22" name="V" dataDxfId="259" dataCellStyle="Procentowy">
      <calculatedColumnFormula>Q2/G2</calculatedColumnFormula>
    </tableColumn>
    <tableColumn id="23" name="Kolumna17" dataDxfId="258" dataCellStyle="Procentowy">
      <calculatedColumnFormula>R2/H2</calculatedColumnFormula>
    </tableColumn>
    <tableColumn id="24" name="Kolumna18" dataDxfId="257" dataCellStyle="Procentowy">
      <calculatedColumnFormula>S2/I2</calculatedColumnFormula>
    </tableColumn>
    <tableColumn id="25" name="Kolumna19" dataDxfId="256" dataCellStyle="Procentowy">
      <calculatedColumnFormula>T2/J2</calculatedColumnFormula>
    </tableColumn>
    <tableColumn id="26" name="Kolumna20" dataDxfId="255" dataCellStyle="Procentowy">
      <calculatedColumnFormula>U2/K2</calculatedColumnFormula>
    </tableColumn>
    <tableColumn id="27" name="VI" dataDxfId="254" dataCellStyle="Dziesiętny"/>
    <tableColumn id="28" name="Kolumna21" dataDxfId="253" dataCellStyle="Dziesiętny"/>
    <tableColumn id="29" name="Kolumna22" dataDxfId="252" dataCellStyle="Dziesiętny"/>
    <tableColumn id="30" name="Kolumna23" dataDxfId="251" dataCellStyle="Dziesiętny"/>
    <tableColumn id="31" name="Kolumna24" dataDxfId="250" dataCellStyle="Dziesiętny"/>
    <tableColumn id="32" name="VII" dataDxfId="249" dataCellStyle="Procentowy">
      <calculatedColumnFormula>AA2/Q2</calculatedColumnFormula>
    </tableColumn>
    <tableColumn id="33" name="Kolumna25" dataDxfId="248" dataCellStyle="Procentowy">
      <calculatedColumnFormula>AB2/R2</calculatedColumnFormula>
    </tableColumn>
    <tableColumn id="34" name="Kolumna26" dataDxfId="247" dataCellStyle="Procentowy">
      <calculatedColumnFormula>AC2/S2</calculatedColumnFormula>
    </tableColumn>
    <tableColumn id="35" name="Kolumna27" dataDxfId="246" dataCellStyle="Procentowy">
      <calculatedColumnFormula>AD2/T2</calculatedColumnFormula>
    </tableColumn>
    <tableColumn id="36" name="Kolumna28" dataDxfId="245" dataCellStyle="Procentowy">
      <calculatedColumnFormula>AE2/U2</calculatedColumnFormula>
    </tableColumn>
    <tableColumn id="37" name="VIII" dataDxfId="244" dataCellStyle="Dziesiętny"/>
    <tableColumn id="38" name="Kolumna29" dataDxfId="243" dataCellStyle="Dziesiętny"/>
    <tableColumn id="39" name="Kolumna30" dataDxfId="242" dataCellStyle="Dziesiętny"/>
    <tableColumn id="40" name="Kolumna31" dataDxfId="241" dataCellStyle="Dziesiętny"/>
    <tableColumn id="41" name="Kolumna32" dataDxfId="240" dataCellStyle="Dziesiętny"/>
    <tableColumn id="42" name="IX" dataDxfId="239" dataCellStyle="Procentowy">
      <calculatedColumnFormula>AK2/AA2</calculatedColumnFormula>
    </tableColumn>
    <tableColumn id="43" name="Kolumna33" dataDxfId="238" dataCellStyle="Procentowy">
      <calculatedColumnFormula>AL2/AB2</calculatedColumnFormula>
    </tableColumn>
    <tableColumn id="44" name="Kolumna34" dataDxfId="237" dataCellStyle="Procentowy">
      <calculatedColumnFormula>AM2/AC2</calculatedColumnFormula>
    </tableColumn>
    <tableColumn id="45" name="Kolumna35" dataDxfId="236" dataCellStyle="Procentowy">
      <calculatedColumnFormula>AN2/AD2</calculatedColumnFormula>
    </tableColumn>
    <tableColumn id="46" name="Kolumna36" dataDxfId="235" dataCellStyle="Procentowy">
      <calculatedColumnFormula>AO2/AE2</calculatedColumnFormula>
    </tableColumn>
    <tableColumn id="47" name="X" dataDxfId="234" dataCellStyle="Procentowy">
      <calculatedColumnFormula>AVERAGE(AP2,AF2,V2,L2)</calculatedColumnFormula>
    </tableColumn>
    <tableColumn id="48" name="Kolumna37" dataDxfId="233" dataCellStyle="Procentowy">
      <calculatedColumnFormula>AVERAGE(AQ2,AG2,W2,M2)</calculatedColumnFormula>
    </tableColumn>
    <tableColumn id="49" name="Kolumna38" dataDxfId="232" dataCellStyle="Procentowy">
      <calculatedColumnFormula>AVERAGE(AR2,AH2,X2,N2)</calculatedColumnFormula>
    </tableColumn>
    <tableColumn id="50" name="Kolumna39" dataDxfId="231" dataCellStyle="Procentowy">
      <calculatedColumnFormula>AVERAGE(AS2,AI2,Y2,O2)</calculatedColumnFormula>
    </tableColumn>
    <tableColumn id="51" name="Kolumna40" dataDxfId="230" dataCellStyle="Procentowy">
      <calculatedColumnFormula>AVERAGE(AT2,AJ2,Z2,P2)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odmioty REGON" altTextSummary="Tabela przedstawia dane na temat podmiotów zarejestrowanych w bazie REGON w latach 2015-2019."/>
    </ext>
  </extLst>
</table>
</file>

<file path=xl/tables/table8.xml><?xml version="1.0" encoding="utf-8"?>
<table xmlns="http://schemas.openxmlformats.org/spreadsheetml/2006/main" id="13" name="Tabela13" displayName="Tabela13" ref="A1:Q21" totalsRowShown="0" headerRowDxfId="229" dataDxfId="227" headerRowBorderDxfId="228" tableBorderDxfId="226">
  <autoFilter ref="A1:Q21"/>
  <tableColumns count="17">
    <tableColumn id="1" name="Oznaczenie" dataDxfId="225"/>
    <tableColumn id="2" name="I" dataDxfId="224" dataCellStyle="Dziesiętny"/>
    <tableColumn id="3" name="Kolumna1" dataDxfId="223" dataCellStyle="Dziesiętny"/>
    <tableColumn id="4" name="Kolumna2" dataDxfId="222" dataCellStyle="Dziesiętny"/>
    <tableColumn id="5" name="Kolumna3" dataDxfId="221"/>
    <tableColumn id="6" name="Kolumna4" dataDxfId="220"/>
    <tableColumn id="7" name="II" dataDxfId="219"/>
    <tableColumn id="8" name="Kolumna5" dataDxfId="218"/>
    <tableColumn id="9" name="Kolumna6" dataDxfId="217"/>
    <tableColumn id="10" name="Kolumna7" dataDxfId="216"/>
    <tableColumn id="11" name="Kolumna8" dataDxfId="215"/>
    <tableColumn id="12" name="III" dataDxfId="214">
      <calculatedColumnFormula>B2-G2</calculatedColumnFormula>
    </tableColumn>
    <tableColumn id="13" name="Kolumna9" dataDxfId="213">
      <calculatedColumnFormula>C2-H2</calculatedColumnFormula>
    </tableColumn>
    <tableColumn id="14" name="Kolumna10" dataDxfId="212">
      <calculatedColumnFormula>D2-I2</calculatedColumnFormula>
    </tableColumn>
    <tableColumn id="15" name="Kolumna11" dataDxfId="211">
      <calculatedColumnFormula>E2-J2</calculatedColumnFormula>
    </tableColumn>
    <tableColumn id="16" name="Kolumna12" dataDxfId="210">
      <calculatedColumnFormula>F2-K2</calculatedColumnFormula>
    </tableColumn>
    <tableColumn id="17" name="IV" dataDxfId="209">
      <calculatedColumnFormula>AVERAGE(L2:P2)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iczba przedsiębiorstw nowopowstałych" altTextSummary="Tabela przedstawia dane na temat liczby podmiotów nowo zarejestrowanych oraz wyrejestrowanych w latach 2015-2019._x000d__x000a_"/>
    </ext>
  </extLst>
</table>
</file>

<file path=xl/tables/table9.xml><?xml version="1.0" encoding="utf-8"?>
<table xmlns="http://schemas.openxmlformats.org/spreadsheetml/2006/main" id="14" name="Tabela14" displayName="Tabela14" ref="A1:Y21" totalsRowShown="0" headerRowDxfId="208" dataDxfId="206" headerRowBorderDxfId="207" tableBorderDxfId="205" dataCellStyle="Dziesiętny">
  <autoFilter ref="A1:Y21"/>
  <tableColumns count="25">
    <tableColumn id="1" name="Oznaczenie" dataDxfId="204"/>
    <tableColumn id="2" name="I" dataDxfId="203"/>
    <tableColumn id="3" name="Kolumna1" dataDxfId="202">
      <calculatedColumnFormula>SUM(D2:F2)</calculatedColumnFormula>
    </tableColumn>
    <tableColumn id="4" name="Kolumna2" dataDxfId="201"/>
    <tableColumn id="5" name="Kolumna3" dataDxfId="200"/>
    <tableColumn id="6" name="Kolumna4" dataDxfId="199"/>
    <tableColumn id="7" name="Kolumna5" dataDxfId="198"/>
    <tableColumn id="8" name="II" dataDxfId="197"/>
    <tableColumn id="9" name="Kolumna6" dataDxfId="196">
      <calculatedColumnFormula>SUM(J2:L2)</calculatedColumnFormula>
    </tableColumn>
    <tableColumn id="10" name="Kolumna7" dataDxfId="195"/>
    <tableColumn id="11" name="Kolumna8" dataDxfId="194"/>
    <tableColumn id="12" name="Kolumna9" dataDxfId="193"/>
    <tableColumn id="13" name="Kolumna10" dataDxfId="192"/>
    <tableColumn id="14" name="III" dataDxfId="191">
      <calculatedColumnFormula>SUM(O2:R2)</calculatedColumnFormula>
    </tableColumn>
    <tableColumn id="15" name="Kolumna11" dataDxfId="190">
      <calculatedColumnFormula>SUM(H2+'5.1.3 Przeds. nowopowst.'!P2)-SUM('5.1.3 Przeds. niefinansowe'!P2+Q2+R2)</calculatedColumnFormula>
    </tableColumn>
    <tableColumn id="16" name="Kolumna12" dataDxfId="189">
      <calculatedColumnFormula>K2*'5.1.3 Podmioty REGON'!AR2</calculatedColumnFormula>
    </tableColumn>
    <tableColumn id="17" name="Kolumna13" dataDxfId="188">
      <calculatedColumnFormula>L2*'5.1.3 Podmioty REGON'!AS2</calculatedColumnFormula>
    </tableColumn>
    <tableColumn id="18" name="Kolumna14" dataDxfId="187">
      <calculatedColumnFormula>M2*'5.1.3 Podmioty REGON'!AT2</calculatedColumnFormula>
    </tableColumn>
    <tableColumn id="19" name="Kolumna15" dataDxfId="186">
      <calculatedColumnFormula>SUM(O2:Q2)</calculatedColumnFormula>
    </tableColumn>
    <tableColumn id="20" name="IV" dataDxfId="185" dataCellStyle="Dziesiętny">
      <calculatedColumnFormula>SUM(V2:Y2)</calculatedColumnFormula>
    </tableColumn>
    <tableColumn id="21" name="Kolumna16" dataDxfId="184" dataCellStyle="Dziesiętny">
      <calculatedColumnFormula>SUM(V2:X2)</calculatedColumnFormula>
    </tableColumn>
    <tableColumn id="22" name="Kolumna17" dataDxfId="183" dataCellStyle="Dziesiętny">
      <calculatedColumnFormula>SUM(N2+'5.1.3 Przeds. nowopowst.'!Q2)-SUM('5.1.3 Przeds. niefinansowe'!W2+X2+Y2)</calculatedColumnFormula>
    </tableColumn>
    <tableColumn id="23" name="Kolumna18" dataDxfId="182" dataCellStyle="Dziesiętny">
      <calculatedColumnFormula>P2*'5.1.3 Podmioty REGON'!AW2</calculatedColumnFormula>
    </tableColumn>
    <tableColumn id="24" name="Kolumna19" dataDxfId="181" dataCellStyle="Dziesiętny">
      <calculatedColumnFormula>Q2*'5.1.3 Podmioty REGON'!AX2</calculatedColumnFormula>
    </tableColumn>
    <tableColumn id="25" name="Kolumna20" dataDxfId="180" dataCellStyle="Dziesiętny">
      <calculatedColumnFormula>R2*'5.1.3 Podmioty REGON'!AY2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Liczba przedsiębiorstw niefinansowych" altTextSummary="Tabela przedstawia historyczne dane dla lat 2017-2018 oraz prognozę na lata 2019 i 2020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.gov.pl/wskazniki-makroekonomiczne/" TargetMode="External"/><Relationship Id="rId2" Type="http://schemas.openxmlformats.org/officeDocument/2006/relationships/hyperlink" Target="https://stat.gov.pl/obszary-tematyczne/rachunki-narodowe/roczne-rachunki-narodowe/produkt-krajowy-brutto-w-2019-roku-szacunek-wstepny,2,9.html" TargetMode="External"/><Relationship Id="rId1" Type="http://schemas.openxmlformats.org/officeDocument/2006/relationships/hyperlink" Target="https://bdl.stat.gov.pl/BDL/metadane/podgrupy/554?back=True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stat.gov.pl/obszary-tematyczne/nauka-i-technika-spoleczenstwo-informacyjne/nauka-i-technika/dzialalnosc-badawcza-i-rozwojowa-w-polsce-w-2018-roku,15,3.html)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N29"/>
  <sheetViews>
    <sheetView zoomScale="90" zoomScaleNormal="90" workbookViewId="0">
      <selection sqref="A1:N1"/>
    </sheetView>
  </sheetViews>
  <sheetFormatPr defaultRowHeight="15" x14ac:dyDescent="0.25"/>
  <cols>
    <col min="1" max="1" width="27.5703125" style="15" customWidth="1"/>
    <col min="2" max="2" width="11.140625" style="15" customWidth="1"/>
    <col min="3" max="3" width="12.140625" style="15" customWidth="1"/>
    <col min="4" max="4" width="13.5703125" style="15" customWidth="1"/>
    <col min="5" max="5" width="11.85546875" style="15" customWidth="1"/>
    <col min="6" max="6" width="15.140625" style="15" customWidth="1"/>
    <col min="7" max="13" width="13" style="15" customWidth="1"/>
    <col min="14" max="14" width="14" style="15" customWidth="1"/>
    <col min="15" max="16384" width="9.140625" style="15"/>
  </cols>
  <sheetData>
    <row r="1" spans="1:14" ht="15.75" thickBot="1" x14ac:dyDescent="0.3">
      <c r="A1" s="232" t="s">
        <v>95</v>
      </c>
      <c r="B1" s="232" t="s">
        <v>96</v>
      </c>
      <c r="C1" s="233" t="s">
        <v>97</v>
      </c>
      <c r="D1" s="234" t="s">
        <v>98</v>
      </c>
      <c r="E1" s="234" t="s">
        <v>99</v>
      </c>
      <c r="F1" s="234" t="s">
        <v>177</v>
      </c>
      <c r="G1" s="234" t="s">
        <v>178</v>
      </c>
      <c r="H1" s="234" t="s">
        <v>179</v>
      </c>
      <c r="I1" s="234" t="s">
        <v>180</v>
      </c>
      <c r="J1" s="234" t="s">
        <v>181</v>
      </c>
      <c r="K1" s="234" t="s">
        <v>182</v>
      </c>
      <c r="L1" s="234" t="s">
        <v>183</v>
      </c>
      <c r="M1" s="234" t="s">
        <v>184</v>
      </c>
      <c r="N1" s="234" t="s">
        <v>185</v>
      </c>
    </row>
    <row r="2" spans="1:14" ht="15.75" thickTop="1" x14ac:dyDescent="0.25">
      <c r="A2" s="118"/>
      <c r="B2" s="119" t="s">
        <v>100</v>
      </c>
      <c r="C2" s="120">
        <v>2019</v>
      </c>
      <c r="D2" s="120">
        <v>2020</v>
      </c>
      <c r="E2" s="120">
        <v>2021</v>
      </c>
      <c r="F2" s="120">
        <v>2022</v>
      </c>
      <c r="G2" s="120">
        <v>2023</v>
      </c>
      <c r="H2" s="120">
        <v>2024</v>
      </c>
      <c r="I2" s="120">
        <v>2025</v>
      </c>
      <c r="J2" s="120">
        <v>2026</v>
      </c>
      <c r="K2" s="120">
        <v>2027</v>
      </c>
      <c r="L2" s="120">
        <v>2028</v>
      </c>
      <c r="M2" s="120">
        <v>2029</v>
      </c>
      <c r="N2" s="121">
        <v>2030</v>
      </c>
    </row>
    <row r="3" spans="1:14" x14ac:dyDescent="0.25">
      <c r="A3" s="118"/>
      <c r="B3" s="119" t="s">
        <v>85</v>
      </c>
      <c r="C3" s="120" t="s">
        <v>85</v>
      </c>
      <c r="D3" s="120" t="s">
        <v>85</v>
      </c>
      <c r="E3" s="120" t="s">
        <v>85</v>
      </c>
      <c r="F3" s="120" t="s">
        <v>85</v>
      </c>
      <c r="G3" s="120" t="s">
        <v>85</v>
      </c>
      <c r="H3" s="120" t="s">
        <v>85</v>
      </c>
      <c r="I3" s="120" t="s">
        <v>85</v>
      </c>
      <c r="J3" s="120" t="s">
        <v>85</v>
      </c>
      <c r="K3" s="120" t="s">
        <v>85</v>
      </c>
      <c r="L3" s="120" t="s">
        <v>85</v>
      </c>
      <c r="M3" s="120" t="s">
        <v>85</v>
      </c>
      <c r="N3" s="121" t="s">
        <v>85</v>
      </c>
    </row>
    <row r="4" spans="1:14" x14ac:dyDescent="0.25">
      <c r="A4" s="122" t="s">
        <v>1</v>
      </c>
      <c r="B4" s="123">
        <v>2115242</v>
      </c>
      <c r="C4" s="123">
        <f>B4*104%</f>
        <v>2199851.6800000002</v>
      </c>
      <c r="D4" s="123">
        <f>C4*103.4%</f>
        <v>2274646.6371200001</v>
      </c>
      <c r="E4" s="123">
        <f>D4*105%</f>
        <v>2388378.9689760003</v>
      </c>
      <c r="F4" s="123">
        <f t="shared" ref="F4:N4" si="0">E4*105%</f>
        <v>2507797.9174248003</v>
      </c>
      <c r="G4" s="123">
        <f t="shared" si="0"/>
        <v>2633187.8132960405</v>
      </c>
      <c r="H4" s="123">
        <f t="shared" si="0"/>
        <v>2764847.2039608425</v>
      </c>
      <c r="I4" s="123">
        <f t="shared" si="0"/>
        <v>2903089.5641588848</v>
      </c>
      <c r="J4" s="123">
        <f t="shared" si="0"/>
        <v>3048244.0423668292</v>
      </c>
      <c r="K4" s="123">
        <f t="shared" si="0"/>
        <v>3200656.244485171</v>
      </c>
      <c r="L4" s="123">
        <f t="shared" si="0"/>
        <v>3360689.0567094297</v>
      </c>
      <c r="M4" s="123">
        <f t="shared" si="0"/>
        <v>3528723.5095449015</v>
      </c>
      <c r="N4" s="124">
        <f t="shared" si="0"/>
        <v>3705159.6850221469</v>
      </c>
    </row>
    <row r="5" spans="1:14" x14ac:dyDescent="0.25">
      <c r="A5" s="122" t="s">
        <v>2</v>
      </c>
      <c r="B5" s="123">
        <v>175356</v>
      </c>
      <c r="C5" s="123">
        <f t="shared" ref="C5:C20" si="1">B5*104%</f>
        <v>182370.24000000002</v>
      </c>
      <c r="D5" s="123">
        <f t="shared" ref="D5:D20" si="2">C5*103.4%</f>
        <v>188570.82816000003</v>
      </c>
      <c r="E5" s="123">
        <f t="shared" ref="E5:N20" si="3">D5*105%</f>
        <v>197999.36956800005</v>
      </c>
      <c r="F5" s="123">
        <f t="shared" si="3"/>
        <v>207899.33804640005</v>
      </c>
      <c r="G5" s="123">
        <f t="shared" si="3"/>
        <v>218294.30494872006</v>
      </c>
      <c r="H5" s="123">
        <f t="shared" si="3"/>
        <v>229209.02019615608</v>
      </c>
      <c r="I5" s="123">
        <f t="shared" si="3"/>
        <v>240669.4712059639</v>
      </c>
      <c r="J5" s="123">
        <f t="shared" si="3"/>
        <v>252702.94476626211</v>
      </c>
      <c r="K5" s="123">
        <f t="shared" si="3"/>
        <v>265338.09200457524</v>
      </c>
      <c r="L5" s="123">
        <f t="shared" si="3"/>
        <v>278604.99660480401</v>
      </c>
      <c r="M5" s="123">
        <f t="shared" si="3"/>
        <v>292535.24643504422</v>
      </c>
      <c r="N5" s="124">
        <f t="shared" si="3"/>
        <v>307162.00875679642</v>
      </c>
    </row>
    <row r="6" spans="1:14" x14ac:dyDescent="0.25">
      <c r="A6" s="122" t="s">
        <v>3</v>
      </c>
      <c r="B6" s="123">
        <v>92960</v>
      </c>
      <c r="C6" s="123">
        <f t="shared" si="1"/>
        <v>96678.400000000009</v>
      </c>
      <c r="D6" s="123">
        <f t="shared" si="2"/>
        <v>99965.46560000001</v>
      </c>
      <c r="E6" s="123">
        <f t="shared" si="3"/>
        <v>104963.73888000002</v>
      </c>
      <c r="F6" s="123">
        <f t="shared" si="3"/>
        <v>110211.92582400002</v>
      </c>
      <c r="G6" s="123">
        <f t="shared" si="3"/>
        <v>115722.52211520003</v>
      </c>
      <c r="H6" s="123">
        <f t="shared" si="3"/>
        <v>121508.64822096004</v>
      </c>
      <c r="I6" s="123">
        <f t="shared" si="3"/>
        <v>127584.08063200804</v>
      </c>
      <c r="J6" s="123">
        <f t="shared" si="3"/>
        <v>133963.28466360844</v>
      </c>
      <c r="K6" s="123">
        <f t="shared" si="3"/>
        <v>140661.44889678888</v>
      </c>
      <c r="L6" s="123">
        <f t="shared" si="3"/>
        <v>147694.52134162834</v>
      </c>
      <c r="M6" s="123">
        <f t="shared" si="3"/>
        <v>155079.24740870975</v>
      </c>
      <c r="N6" s="124">
        <f t="shared" si="3"/>
        <v>162833.20977914525</v>
      </c>
    </row>
    <row r="7" spans="1:14" x14ac:dyDescent="0.25">
      <c r="A7" s="122" t="s">
        <v>4</v>
      </c>
      <c r="B7" s="123">
        <v>78711</v>
      </c>
      <c r="C7" s="123">
        <f t="shared" si="1"/>
        <v>81859.44</v>
      </c>
      <c r="D7" s="123">
        <f t="shared" si="2"/>
        <v>84642.660960000008</v>
      </c>
      <c r="E7" s="123">
        <f t="shared" si="3"/>
        <v>88874.794008000012</v>
      </c>
      <c r="F7" s="123">
        <f t="shared" si="3"/>
        <v>93318.53370840002</v>
      </c>
      <c r="G7" s="123">
        <f t="shared" si="3"/>
        <v>97984.460393820031</v>
      </c>
      <c r="H7" s="123">
        <f t="shared" si="3"/>
        <v>102883.68341351104</v>
      </c>
      <c r="I7" s="123">
        <f t="shared" si="3"/>
        <v>108027.86758418659</v>
      </c>
      <c r="J7" s="123">
        <f t="shared" si="3"/>
        <v>113429.26096339592</v>
      </c>
      <c r="K7" s="123">
        <f t="shared" si="3"/>
        <v>119100.72401156572</v>
      </c>
      <c r="L7" s="123">
        <f t="shared" si="3"/>
        <v>125055.76021214401</v>
      </c>
      <c r="M7" s="123">
        <f t="shared" si="3"/>
        <v>131308.54822275121</v>
      </c>
      <c r="N7" s="124">
        <f t="shared" si="3"/>
        <v>137873.97563388877</v>
      </c>
    </row>
    <row r="8" spans="1:14" x14ac:dyDescent="0.25">
      <c r="A8" s="122" t="s">
        <v>5</v>
      </c>
      <c r="B8" s="123">
        <v>46016</v>
      </c>
      <c r="C8" s="123">
        <f t="shared" si="1"/>
        <v>47856.639999999999</v>
      </c>
      <c r="D8" s="123">
        <f t="shared" si="2"/>
        <v>49483.765760000002</v>
      </c>
      <c r="E8" s="123">
        <f t="shared" si="3"/>
        <v>51957.954048000007</v>
      </c>
      <c r="F8" s="123">
        <f t="shared" si="3"/>
        <v>54555.851750400012</v>
      </c>
      <c r="G8" s="123">
        <f t="shared" si="3"/>
        <v>57283.644337920014</v>
      </c>
      <c r="H8" s="123">
        <f t="shared" si="3"/>
        <v>60147.82655481602</v>
      </c>
      <c r="I8" s="123">
        <f t="shared" si="3"/>
        <v>63155.217882556826</v>
      </c>
      <c r="J8" s="123">
        <f t="shared" si="3"/>
        <v>66312.978776684671</v>
      </c>
      <c r="K8" s="123">
        <f t="shared" si="3"/>
        <v>69628.627715518902</v>
      </c>
      <c r="L8" s="123">
        <f t="shared" si="3"/>
        <v>73110.059101294857</v>
      </c>
      <c r="M8" s="123">
        <f t="shared" si="3"/>
        <v>76765.562056359602</v>
      </c>
      <c r="N8" s="124">
        <f t="shared" si="3"/>
        <v>80603.840159177591</v>
      </c>
    </row>
    <row r="9" spans="1:14" x14ac:dyDescent="0.25">
      <c r="A9" s="122" t="s">
        <v>6</v>
      </c>
      <c r="B9" s="123">
        <v>126411</v>
      </c>
      <c r="C9" s="123">
        <f t="shared" si="1"/>
        <v>131467.44</v>
      </c>
      <c r="D9" s="123">
        <f t="shared" si="2"/>
        <v>135937.33296</v>
      </c>
      <c r="E9" s="123">
        <f t="shared" si="3"/>
        <v>142734.199608</v>
      </c>
      <c r="F9" s="123">
        <f t="shared" si="3"/>
        <v>149870.90958840001</v>
      </c>
      <c r="G9" s="123">
        <f t="shared" si="3"/>
        <v>157364.45506782003</v>
      </c>
      <c r="H9" s="123">
        <f t="shared" si="3"/>
        <v>165232.67782121105</v>
      </c>
      <c r="I9" s="123">
        <f t="shared" si="3"/>
        <v>173494.31171227162</v>
      </c>
      <c r="J9" s="123">
        <f t="shared" si="3"/>
        <v>182169.02729788522</v>
      </c>
      <c r="K9" s="123">
        <f t="shared" si="3"/>
        <v>191277.4786627795</v>
      </c>
      <c r="L9" s="123">
        <f t="shared" si="3"/>
        <v>200841.35259591849</v>
      </c>
      <c r="M9" s="123">
        <f t="shared" si="3"/>
        <v>210883.42022571442</v>
      </c>
      <c r="N9" s="124">
        <f t="shared" si="3"/>
        <v>221427.59123700016</v>
      </c>
    </row>
    <row r="10" spans="1:14" x14ac:dyDescent="0.25">
      <c r="A10" s="122" t="s">
        <v>7</v>
      </c>
      <c r="B10" s="123">
        <v>172279</v>
      </c>
      <c r="C10" s="123">
        <f t="shared" si="1"/>
        <v>179170.16</v>
      </c>
      <c r="D10" s="123">
        <f t="shared" si="2"/>
        <v>185261.94544000001</v>
      </c>
      <c r="E10" s="123">
        <f t="shared" si="3"/>
        <v>194525.04271200002</v>
      </c>
      <c r="F10" s="123">
        <f t="shared" si="3"/>
        <v>204251.29484760005</v>
      </c>
      <c r="G10" s="123">
        <f t="shared" si="3"/>
        <v>214463.85958998007</v>
      </c>
      <c r="H10" s="123">
        <f t="shared" si="3"/>
        <v>225187.05256947907</v>
      </c>
      <c r="I10" s="123">
        <f t="shared" si="3"/>
        <v>236446.40519795302</v>
      </c>
      <c r="J10" s="123">
        <f t="shared" si="3"/>
        <v>248268.72545785067</v>
      </c>
      <c r="K10" s="123">
        <f t="shared" si="3"/>
        <v>260682.16173074322</v>
      </c>
      <c r="L10" s="123">
        <f t="shared" si="3"/>
        <v>273716.26981728041</v>
      </c>
      <c r="M10" s="123">
        <f t="shared" si="3"/>
        <v>287402.08330814441</v>
      </c>
      <c r="N10" s="124">
        <f t="shared" si="3"/>
        <v>301772.18747355166</v>
      </c>
    </row>
    <row r="11" spans="1:14" x14ac:dyDescent="0.25">
      <c r="A11" s="122" t="s">
        <v>8</v>
      </c>
      <c r="B11" s="123">
        <v>478129</v>
      </c>
      <c r="C11" s="123">
        <f t="shared" si="1"/>
        <v>497254.16000000003</v>
      </c>
      <c r="D11" s="123">
        <f t="shared" si="2"/>
        <v>514160.80144000007</v>
      </c>
      <c r="E11" s="123">
        <f t="shared" si="3"/>
        <v>539868.84151200007</v>
      </c>
      <c r="F11" s="123">
        <f t="shared" si="3"/>
        <v>566862.2835876001</v>
      </c>
      <c r="G11" s="123">
        <f t="shared" si="3"/>
        <v>595205.39776698011</v>
      </c>
      <c r="H11" s="123">
        <f t="shared" si="3"/>
        <v>624965.6676553291</v>
      </c>
      <c r="I11" s="123">
        <f t="shared" si="3"/>
        <v>656213.95103809563</v>
      </c>
      <c r="J11" s="123">
        <f t="shared" si="3"/>
        <v>689024.64859000046</v>
      </c>
      <c r="K11" s="123">
        <f t="shared" si="3"/>
        <v>723475.88101950055</v>
      </c>
      <c r="L11" s="123">
        <f t="shared" si="3"/>
        <v>759649.67507047555</v>
      </c>
      <c r="M11" s="123">
        <f t="shared" si="3"/>
        <v>797632.15882399934</v>
      </c>
      <c r="N11" s="124">
        <f t="shared" si="3"/>
        <v>837513.76676519937</v>
      </c>
    </row>
    <row r="12" spans="1:14" x14ac:dyDescent="0.25">
      <c r="A12" s="122" t="s">
        <v>9</v>
      </c>
      <c r="B12" s="123">
        <v>43188</v>
      </c>
      <c r="C12" s="123">
        <f t="shared" si="1"/>
        <v>44915.520000000004</v>
      </c>
      <c r="D12" s="123">
        <f t="shared" si="2"/>
        <v>46442.647680000009</v>
      </c>
      <c r="E12" s="123">
        <f t="shared" si="3"/>
        <v>48764.780064000013</v>
      </c>
      <c r="F12" s="123">
        <f t="shared" si="3"/>
        <v>51203.019067200017</v>
      </c>
      <c r="G12" s="123">
        <f t="shared" si="3"/>
        <v>53763.170020560021</v>
      </c>
      <c r="H12" s="123">
        <f t="shared" si="3"/>
        <v>56451.328521588024</v>
      </c>
      <c r="I12" s="123">
        <f t="shared" si="3"/>
        <v>59273.894947667424</v>
      </c>
      <c r="J12" s="123">
        <f t="shared" si="3"/>
        <v>62237.589695050796</v>
      </c>
      <c r="K12" s="123">
        <f t="shared" si="3"/>
        <v>65349.469179803338</v>
      </c>
      <c r="L12" s="123">
        <f t="shared" si="3"/>
        <v>68616.942638793509</v>
      </c>
      <c r="M12" s="123">
        <f t="shared" si="3"/>
        <v>72047.789770733187</v>
      </c>
      <c r="N12" s="124">
        <f t="shared" si="3"/>
        <v>75650.179259269848</v>
      </c>
    </row>
    <row r="13" spans="1:14" x14ac:dyDescent="0.25">
      <c r="A13" s="122" t="s">
        <v>10</v>
      </c>
      <c r="B13" s="123">
        <v>82749</v>
      </c>
      <c r="C13" s="123">
        <f t="shared" si="1"/>
        <v>86058.96</v>
      </c>
      <c r="D13" s="123">
        <f t="shared" si="2"/>
        <v>88984.964640000006</v>
      </c>
      <c r="E13" s="123">
        <f t="shared" si="3"/>
        <v>93434.212872000004</v>
      </c>
      <c r="F13" s="123">
        <f t="shared" si="3"/>
        <v>98105.923515600007</v>
      </c>
      <c r="G13" s="123">
        <f t="shared" si="3"/>
        <v>103011.21969138001</v>
      </c>
      <c r="H13" s="123">
        <f t="shared" si="3"/>
        <v>108161.78067594902</v>
      </c>
      <c r="I13" s="123">
        <f t="shared" si="3"/>
        <v>113569.86970974648</v>
      </c>
      <c r="J13" s="123">
        <f t="shared" si="3"/>
        <v>119248.3631952338</v>
      </c>
      <c r="K13" s="123">
        <f t="shared" si="3"/>
        <v>125210.7813549955</v>
      </c>
      <c r="L13" s="123">
        <f t="shared" si="3"/>
        <v>131471.32042274528</v>
      </c>
      <c r="M13" s="123">
        <f t="shared" si="3"/>
        <v>138044.88644388254</v>
      </c>
      <c r="N13" s="124">
        <f t="shared" si="3"/>
        <v>144947.13076607668</v>
      </c>
    </row>
    <row r="14" spans="1:14" x14ac:dyDescent="0.25">
      <c r="A14" s="122" t="s">
        <v>11</v>
      </c>
      <c r="B14" s="123">
        <v>46314</v>
      </c>
      <c r="C14" s="123">
        <f t="shared" si="1"/>
        <v>48166.560000000005</v>
      </c>
      <c r="D14" s="123">
        <f t="shared" si="2"/>
        <v>49804.223040000004</v>
      </c>
      <c r="E14" s="123">
        <f t="shared" si="3"/>
        <v>52294.434192000008</v>
      </c>
      <c r="F14" s="123">
        <f t="shared" si="3"/>
        <v>54909.15590160001</v>
      </c>
      <c r="G14" s="123">
        <f t="shared" si="3"/>
        <v>57654.613696680011</v>
      </c>
      <c r="H14" s="123">
        <f t="shared" si="3"/>
        <v>60537.344381514013</v>
      </c>
      <c r="I14" s="123">
        <f t="shared" si="3"/>
        <v>63564.211600589719</v>
      </c>
      <c r="J14" s="123">
        <f t="shared" si="3"/>
        <v>66742.422180619207</v>
      </c>
      <c r="K14" s="123">
        <f t="shared" si="3"/>
        <v>70079.543289650173</v>
      </c>
      <c r="L14" s="123">
        <f t="shared" si="3"/>
        <v>73583.520454132682</v>
      </c>
      <c r="M14" s="123">
        <f t="shared" si="3"/>
        <v>77262.696476839323</v>
      </c>
      <c r="N14" s="124">
        <f t="shared" si="3"/>
        <v>81125.831300681297</v>
      </c>
    </row>
    <row r="15" spans="1:14" x14ac:dyDescent="0.25">
      <c r="A15" s="122" t="s">
        <v>12</v>
      </c>
      <c r="B15" s="123">
        <v>124553</v>
      </c>
      <c r="C15" s="123">
        <f t="shared" si="1"/>
        <v>129535.12000000001</v>
      </c>
      <c r="D15" s="123">
        <f t="shared" si="2"/>
        <v>133939.31408000001</v>
      </c>
      <c r="E15" s="123">
        <f t="shared" si="3"/>
        <v>140636.27978400001</v>
      </c>
      <c r="F15" s="123">
        <f t="shared" si="3"/>
        <v>147668.09377320003</v>
      </c>
      <c r="G15" s="123">
        <f t="shared" si="3"/>
        <v>155051.49846186003</v>
      </c>
      <c r="H15" s="123">
        <f t="shared" si="3"/>
        <v>162804.07338495302</v>
      </c>
      <c r="I15" s="123">
        <f t="shared" si="3"/>
        <v>170944.27705420068</v>
      </c>
      <c r="J15" s="123">
        <f t="shared" si="3"/>
        <v>179491.49090691071</v>
      </c>
      <c r="K15" s="123">
        <f t="shared" si="3"/>
        <v>188466.06545225624</v>
      </c>
      <c r="L15" s="123">
        <f t="shared" si="3"/>
        <v>197889.36872486907</v>
      </c>
      <c r="M15" s="123">
        <f t="shared" si="3"/>
        <v>207783.83716111252</v>
      </c>
      <c r="N15" s="124">
        <f t="shared" si="3"/>
        <v>218173.02901916814</v>
      </c>
    </row>
    <row r="16" spans="1:14" x14ac:dyDescent="0.25">
      <c r="A16" s="122" t="s">
        <v>13</v>
      </c>
      <c r="B16" s="123">
        <v>259946</v>
      </c>
      <c r="C16" s="123">
        <f t="shared" si="1"/>
        <v>270343.84000000003</v>
      </c>
      <c r="D16" s="123">
        <f t="shared" si="2"/>
        <v>279535.53056000004</v>
      </c>
      <c r="E16" s="123">
        <f t="shared" si="3"/>
        <v>293512.30708800006</v>
      </c>
      <c r="F16" s="123">
        <f t="shared" si="3"/>
        <v>308187.92244240007</v>
      </c>
      <c r="G16" s="123">
        <f t="shared" si="3"/>
        <v>323597.3185645201</v>
      </c>
      <c r="H16" s="123">
        <f t="shared" si="3"/>
        <v>339777.18449274614</v>
      </c>
      <c r="I16" s="123">
        <f t="shared" si="3"/>
        <v>356766.04371738347</v>
      </c>
      <c r="J16" s="123">
        <f t="shared" si="3"/>
        <v>374604.34590325266</v>
      </c>
      <c r="K16" s="123">
        <f t="shared" si="3"/>
        <v>393334.56319841533</v>
      </c>
      <c r="L16" s="123">
        <f t="shared" si="3"/>
        <v>413001.29135833611</v>
      </c>
      <c r="M16" s="123">
        <f t="shared" si="3"/>
        <v>433651.35592625296</v>
      </c>
      <c r="N16" s="124">
        <f t="shared" si="3"/>
        <v>455333.92372256564</v>
      </c>
    </row>
    <row r="17" spans="1:14" x14ac:dyDescent="0.25">
      <c r="A17" s="122" t="s">
        <v>14</v>
      </c>
      <c r="B17" s="123">
        <v>49454</v>
      </c>
      <c r="C17" s="123">
        <f t="shared" si="1"/>
        <v>51432.160000000003</v>
      </c>
      <c r="D17" s="123">
        <f t="shared" si="2"/>
        <v>53180.853440000006</v>
      </c>
      <c r="E17" s="123">
        <f t="shared" si="3"/>
        <v>55839.896112000009</v>
      </c>
      <c r="F17" s="123">
        <f t="shared" si="3"/>
        <v>58631.890917600009</v>
      </c>
      <c r="G17" s="123">
        <f t="shared" si="3"/>
        <v>61563.485463480014</v>
      </c>
      <c r="H17" s="123">
        <f t="shared" si="3"/>
        <v>64641.659736654015</v>
      </c>
      <c r="I17" s="123">
        <f t="shared" si="3"/>
        <v>67873.742723486721</v>
      </c>
      <c r="J17" s="123">
        <f t="shared" si="3"/>
        <v>71267.429859661061</v>
      </c>
      <c r="K17" s="123">
        <f t="shared" si="3"/>
        <v>74830.801352644121</v>
      </c>
      <c r="L17" s="123">
        <f t="shared" si="3"/>
        <v>78572.341420276323</v>
      </c>
      <c r="M17" s="123">
        <f t="shared" si="3"/>
        <v>82500.958491290148</v>
      </c>
      <c r="N17" s="124">
        <f t="shared" si="3"/>
        <v>86626.006415854659</v>
      </c>
    </row>
    <row r="18" spans="1:14" x14ac:dyDescent="0.25">
      <c r="A18" s="122" t="s">
        <v>15</v>
      </c>
      <c r="B18" s="123">
        <v>54164</v>
      </c>
      <c r="C18" s="123">
        <f t="shared" si="1"/>
        <v>56330.560000000005</v>
      </c>
      <c r="D18" s="123">
        <f t="shared" si="2"/>
        <v>58245.799040000005</v>
      </c>
      <c r="E18" s="123">
        <f t="shared" si="3"/>
        <v>61158.088992000012</v>
      </c>
      <c r="F18" s="123">
        <f t="shared" si="3"/>
        <v>64215.993441600018</v>
      </c>
      <c r="G18" s="123">
        <f t="shared" si="3"/>
        <v>67426.793113680018</v>
      </c>
      <c r="H18" s="123">
        <f t="shared" si="3"/>
        <v>70798.13276936402</v>
      </c>
      <c r="I18" s="123">
        <f t="shared" si="3"/>
        <v>74338.039407832228</v>
      </c>
      <c r="J18" s="123">
        <f t="shared" si="3"/>
        <v>78054.941378223841</v>
      </c>
      <c r="K18" s="123">
        <f t="shared" si="3"/>
        <v>81957.688447135035</v>
      </c>
      <c r="L18" s="123">
        <f t="shared" si="3"/>
        <v>86055.572869491793</v>
      </c>
      <c r="M18" s="123">
        <f t="shared" si="3"/>
        <v>90358.351512966387</v>
      </c>
      <c r="N18" s="124">
        <f t="shared" si="3"/>
        <v>94876.269088614703</v>
      </c>
    </row>
    <row r="19" spans="1:14" x14ac:dyDescent="0.25">
      <c r="A19" s="122" t="s">
        <v>16</v>
      </c>
      <c r="B19" s="123">
        <v>207183</v>
      </c>
      <c r="C19" s="123">
        <f t="shared" si="1"/>
        <v>215470.32</v>
      </c>
      <c r="D19" s="123">
        <f t="shared" si="2"/>
        <v>222796.31088</v>
      </c>
      <c r="E19" s="123">
        <f t="shared" si="3"/>
        <v>233936.12642400002</v>
      </c>
      <c r="F19" s="123">
        <f t="shared" si="3"/>
        <v>245632.93274520003</v>
      </c>
      <c r="G19" s="123">
        <f t="shared" si="3"/>
        <v>257914.57938246004</v>
      </c>
      <c r="H19" s="123">
        <f t="shared" si="3"/>
        <v>270810.30835158308</v>
      </c>
      <c r="I19" s="123">
        <f t="shared" si="3"/>
        <v>284350.82376916223</v>
      </c>
      <c r="J19" s="123">
        <f t="shared" si="3"/>
        <v>298568.36495762033</v>
      </c>
      <c r="K19" s="123">
        <f t="shared" si="3"/>
        <v>313496.78320550139</v>
      </c>
      <c r="L19" s="123">
        <f t="shared" si="3"/>
        <v>329171.62236577645</v>
      </c>
      <c r="M19" s="123">
        <f t="shared" si="3"/>
        <v>345630.20348406531</v>
      </c>
      <c r="N19" s="124">
        <f t="shared" si="3"/>
        <v>362911.71365826856</v>
      </c>
    </row>
    <row r="20" spans="1:14" x14ac:dyDescent="0.25">
      <c r="A20" s="125" t="s">
        <v>17</v>
      </c>
      <c r="B20" s="126">
        <v>77828</v>
      </c>
      <c r="C20" s="126">
        <f t="shared" si="1"/>
        <v>80941.12000000001</v>
      </c>
      <c r="D20" s="126">
        <f t="shared" si="2"/>
        <v>83693.118080000015</v>
      </c>
      <c r="E20" s="126">
        <f t="shared" si="3"/>
        <v>87877.773984000014</v>
      </c>
      <c r="F20" s="126">
        <f t="shared" si="3"/>
        <v>92271.662683200018</v>
      </c>
      <c r="G20" s="126">
        <f t="shared" si="3"/>
        <v>96885.245817360017</v>
      </c>
      <c r="H20" s="126">
        <f t="shared" si="3"/>
        <v>101729.50810822802</v>
      </c>
      <c r="I20" s="126">
        <f t="shared" si="3"/>
        <v>106815.98351363942</v>
      </c>
      <c r="J20" s="126">
        <f t="shared" si="3"/>
        <v>112156.78268932141</v>
      </c>
      <c r="K20" s="126">
        <f t="shared" si="3"/>
        <v>117764.62182378749</v>
      </c>
      <c r="L20" s="126">
        <f t="shared" si="3"/>
        <v>123652.85291497686</v>
      </c>
      <c r="M20" s="126">
        <f t="shared" si="3"/>
        <v>129835.4955607257</v>
      </c>
      <c r="N20" s="127">
        <f t="shared" si="3"/>
        <v>136327.270338762</v>
      </c>
    </row>
    <row r="22" spans="1:14" x14ac:dyDescent="0.25">
      <c r="A22" s="28" t="s">
        <v>268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7"/>
    </row>
    <row r="23" spans="1:14" x14ac:dyDescent="0.25">
      <c r="A23" s="30" t="s">
        <v>269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7"/>
    </row>
    <row r="25" spans="1:14" x14ac:dyDescent="0.25">
      <c r="A25" s="28" t="s">
        <v>270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7"/>
    </row>
    <row r="26" spans="1:14" x14ac:dyDescent="0.25">
      <c r="A26" s="30" t="s">
        <v>271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7"/>
    </row>
    <row r="28" spans="1:14" x14ac:dyDescent="0.25">
      <c r="A28" s="28" t="s">
        <v>273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7"/>
    </row>
    <row r="29" spans="1:14" x14ac:dyDescent="0.25">
      <c r="A29" s="30" t="s">
        <v>272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7"/>
    </row>
  </sheetData>
  <hyperlinks>
    <hyperlink ref="A23" r:id="rId1" tooltip="Przejdź do strony GUS"/>
    <hyperlink ref="A26" r:id="rId2" tooltip="Przejdź do strony GUS"/>
    <hyperlink ref="A29" r:id="rId3" tooltip="Przejdź do strony GUS"/>
  </hyperlinks>
  <pageMargins left="0.7" right="0.7" top="0.75" bottom="0.75" header="0.3" footer="0.3"/>
  <pageSetup orientation="portrait" r:id="rId4"/>
  <tableParts count="1"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E10"/>
  <sheetViews>
    <sheetView zoomScale="90" zoomScaleNormal="90" workbookViewId="0">
      <selection activeCell="AC4" sqref="AC4"/>
    </sheetView>
  </sheetViews>
  <sheetFormatPr defaultRowHeight="15" x14ac:dyDescent="0.25"/>
  <cols>
    <col min="1" max="1" width="34.140625" customWidth="1"/>
    <col min="2" max="2" width="38.140625" customWidth="1"/>
    <col min="3" max="3" width="12.7109375" customWidth="1"/>
    <col min="4" max="7" width="11.85546875" customWidth="1"/>
    <col min="8" max="8" width="34.140625" customWidth="1"/>
    <col min="9" max="9" width="13.5703125" customWidth="1"/>
    <col min="10" max="11" width="11.85546875" customWidth="1"/>
    <col min="12" max="13" width="13" customWidth="1"/>
    <col min="14" max="14" width="36.5703125" customWidth="1"/>
    <col min="15" max="19" width="13" customWidth="1"/>
    <col min="20" max="20" width="44.28515625" customWidth="1"/>
    <col min="21" max="21" width="13.5703125" customWidth="1"/>
    <col min="22" max="25" width="13" customWidth="1"/>
    <col min="26" max="26" width="38.7109375" customWidth="1"/>
    <col min="27" max="31" width="13" customWidth="1"/>
  </cols>
  <sheetData>
    <row r="1" spans="1:31" ht="47.25" customHeight="1" x14ac:dyDescent="0.25">
      <c r="A1" s="91" t="s">
        <v>54</v>
      </c>
      <c r="B1" s="92" t="s">
        <v>62</v>
      </c>
      <c r="C1" s="93" t="s">
        <v>277</v>
      </c>
      <c r="D1" s="93" t="s">
        <v>278</v>
      </c>
      <c r="E1" s="93" t="s">
        <v>279</v>
      </c>
      <c r="F1" s="93" t="s">
        <v>280</v>
      </c>
      <c r="G1" s="94" t="s">
        <v>281</v>
      </c>
      <c r="H1" s="92" t="s">
        <v>346</v>
      </c>
      <c r="I1" s="93" t="s">
        <v>283</v>
      </c>
      <c r="J1" s="93" t="s">
        <v>284</v>
      </c>
      <c r="K1" s="93" t="s">
        <v>285</v>
      </c>
      <c r="L1" s="93" t="s">
        <v>286</v>
      </c>
      <c r="M1" s="94" t="s">
        <v>287</v>
      </c>
      <c r="N1" s="92" t="s">
        <v>347</v>
      </c>
      <c r="O1" s="93" t="s">
        <v>289</v>
      </c>
      <c r="P1" s="93" t="s">
        <v>290</v>
      </c>
      <c r="Q1" s="93" t="s">
        <v>291</v>
      </c>
      <c r="R1" s="93" t="s">
        <v>292</v>
      </c>
      <c r="S1" s="94" t="s">
        <v>293</v>
      </c>
      <c r="T1" s="92" t="s">
        <v>348</v>
      </c>
      <c r="U1" s="93" t="s">
        <v>295</v>
      </c>
      <c r="V1" s="93" t="s">
        <v>296</v>
      </c>
      <c r="W1" s="93" t="s">
        <v>335</v>
      </c>
      <c r="X1" s="93" t="s">
        <v>336</v>
      </c>
      <c r="Y1" s="94" t="s">
        <v>337</v>
      </c>
      <c r="Z1" s="92" t="s">
        <v>63</v>
      </c>
      <c r="AA1" s="93" t="s">
        <v>338</v>
      </c>
      <c r="AB1" s="93" t="s">
        <v>339</v>
      </c>
      <c r="AC1" s="93" t="s">
        <v>340</v>
      </c>
      <c r="AD1" s="93" t="s">
        <v>341</v>
      </c>
      <c r="AE1" s="94" t="s">
        <v>342</v>
      </c>
    </row>
    <row r="2" spans="1:31" ht="15" customHeight="1" x14ac:dyDescent="0.25">
      <c r="A2" s="91"/>
      <c r="B2" s="95" t="s">
        <v>19</v>
      </c>
      <c r="C2" s="96" t="s">
        <v>60</v>
      </c>
      <c r="D2" s="97" t="s">
        <v>20</v>
      </c>
      <c r="E2" s="97" t="s">
        <v>21</v>
      </c>
      <c r="F2" s="97" t="s">
        <v>22</v>
      </c>
      <c r="G2" s="97" t="s">
        <v>23</v>
      </c>
      <c r="H2" s="95" t="s">
        <v>19</v>
      </c>
      <c r="I2" s="96" t="s">
        <v>60</v>
      </c>
      <c r="J2" s="97" t="s">
        <v>20</v>
      </c>
      <c r="K2" s="97" t="s">
        <v>21</v>
      </c>
      <c r="L2" s="97" t="s">
        <v>22</v>
      </c>
      <c r="M2" s="97" t="s">
        <v>23</v>
      </c>
      <c r="N2" s="95" t="s">
        <v>19</v>
      </c>
      <c r="O2" s="96" t="s">
        <v>60</v>
      </c>
      <c r="P2" s="97" t="s">
        <v>20</v>
      </c>
      <c r="Q2" s="97" t="s">
        <v>21</v>
      </c>
      <c r="R2" s="97" t="s">
        <v>22</v>
      </c>
      <c r="S2" s="97" t="s">
        <v>23</v>
      </c>
      <c r="T2" s="95" t="s">
        <v>19</v>
      </c>
      <c r="U2" s="96" t="s">
        <v>60</v>
      </c>
      <c r="V2" s="97" t="s">
        <v>20</v>
      </c>
      <c r="W2" s="97" t="s">
        <v>21</v>
      </c>
      <c r="X2" s="97" t="s">
        <v>22</v>
      </c>
      <c r="Y2" s="97" t="s">
        <v>23</v>
      </c>
      <c r="Z2" s="98" t="s">
        <v>19</v>
      </c>
      <c r="AA2" s="99" t="s">
        <v>60</v>
      </c>
      <c r="AB2" s="100" t="s">
        <v>20</v>
      </c>
      <c r="AC2" s="100" t="s">
        <v>21</v>
      </c>
      <c r="AD2" s="100" t="s">
        <v>22</v>
      </c>
      <c r="AE2" s="100" t="s">
        <v>23</v>
      </c>
    </row>
    <row r="3" spans="1:31" s="2" customFormat="1" x14ac:dyDescent="0.25">
      <c r="A3" s="93"/>
      <c r="B3" s="101">
        <v>2015</v>
      </c>
      <c r="C3" s="101">
        <v>2015</v>
      </c>
      <c r="D3" s="101">
        <v>2015</v>
      </c>
      <c r="E3" s="101">
        <v>2015</v>
      </c>
      <c r="F3" s="101">
        <v>2015</v>
      </c>
      <c r="G3" s="101">
        <v>2015</v>
      </c>
      <c r="H3" s="101">
        <v>2016</v>
      </c>
      <c r="I3" s="101">
        <v>2016</v>
      </c>
      <c r="J3" s="101">
        <v>2016</v>
      </c>
      <c r="K3" s="101">
        <v>2016</v>
      </c>
      <c r="L3" s="101">
        <v>2016</v>
      </c>
      <c r="M3" s="101">
        <v>2016</v>
      </c>
      <c r="N3" s="101">
        <v>2017</v>
      </c>
      <c r="O3" s="101">
        <v>2017</v>
      </c>
      <c r="P3" s="101">
        <v>2017</v>
      </c>
      <c r="Q3" s="101">
        <v>2017</v>
      </c>
      <c r="R3" s="101">
        <v>2017</v>
      </c>
      <c r="S3" s="101">
        <v>2017</v>
      </c>
      <c r="T3" s="101">
        <v>2018</v>
      </c>
      <c r="U3" s="101">
        <v>2018</v>
      </c>
      <c r="V3" s="101">
        <v>2018</v>
      </c>
      <c r="W3" s="101">
        <v>2018</v>
      </c>
      <c r="X3" s="101">
        <v>2018</v>
      </c>
      <c r="Y3" s="102">
        <v>2018</v>
      </c>
      <c r="Z3" s="103" t="s">
        <v>55</v>
      </c>
      <c r="AA3" s="103" t="s">
        <v>55</v>
      </c>
      <c r="AB3" s="103" t="s">
        <v>55</v>
      </c>
      <c r="AC3" s="103" t="s">
        <v>55</v>
      </c>
      <c r="AD3" s="103" t="s">
        <v>55</v>
      </c>
      <c r="AE3" s="103" t="s">
        <v>55</v>
      </c>
    </row>
    <row r="4" spans="1:31" s="9" customFormat="1" x14ac:dyDescent="0.25">
      <c r="A4" s="85" t="s">
        <v>61</v>
      </c>
      <c r="B4" s="4">
        <f>SUM(B5:B7)</f>
        <v>0.94689999999999996</v>
      </c>
      <c r="C4" s="4">
        <f t="shared" ref="C4:Y4" si="0">SUM(C5:C7)</f>
        <v>0.9052</v>
      </c>
      <c r="D4" s="4">
        <f t="shared" si="0"/>
        <v>0.87529999999999997</v>
      </c>
      <c r="E4" s="4">
        <f t="shared" si="0"/>
        <v>0.86409999999999998</v>
      </c>
      <c r="F4" s="4">
        <f t="shared" si="0"/>
        <v>0.94090000000000007</v>
      </c>
      <c r="G4" s="4">
        <f t="shared" si="0"/>
        <v>0.98099999999999998</v>
      </c>
      <c r="H4" s="4">
        <f t="shared" si="0"/>
        <v>0.89589999999999992</v>
      </c>
      <c r="I4" s="4">
        <f t="shared" si="0"/>
        <v>0.80720000000000003</v>
      </c>
      <c r="J4" s="4">
        <f t="shared" si="0"/>
        <v>0.52329999999999999</v>
      </c>
      <c r="K4" s="4">
        <f t="shared" si="0"/>
        <v>0.78539999999999999</v>
      </c>
      <c r="L4" s="4">
        <f t="shared" si="0"/>
        <v>0.90710000000000002</v>
      </c>
      <c r="M4" s="4">
        <f t="shared" si="0"/>
        <v>0.96809999999999996</v>
      </c>
      <c r="N4" s="4">
        <f t="shared" si="0"/>
        <v>0.92479999999999996</v>
      </c>
      <c r="O4" s="4">
        <f t="shared" si="0"/>
        <v>0.86699999999999999</v>
      </c>
      <c r="P4" s="4">
        <f t="shared" si="0"/>
        <v>0.72849999999999993</v>
      </c>
      <c r="Q4" s="4">
        <f t="shared" si="0"/>
        <v>0.82410000000000005</v>
      </c>
      <c r="R4" s="4">
        <f t="shared" si="0"/>
        <v>0.93790000000000007</v>
      </c>
      <c r="S4" s="4">
        <f t="shared" si="0"/>
        <v>0.97309999999999997</v>
      </c>
      <c r="T4" s="4">
        <f t="shared" si="0"/>
        <v>0.89139999999999997</v>
      </c>
      <c r="U4" s="4">
        <f t="shared" si="0"/>
        <v>0.84230000000000005</v>
      </c>
      <c r="V4" s="4">
        <f t="shared" si="0"/>
        <v>0.69869999999999988</v>
      </c>
      <c r="W4" s="4">
        <f t="shared" si="0"/>
        <v>0.82179999999999997</v>
      </c>
      <c r="X4" s="4">
        <f t="shared" si="0"/>
        <v>0.90129999999999999</v>
      </c>
      <c r="Y4" s="4">
        <f t="shared" si="0"/>
        <v>0.93419999999999992</v>
      </c>
      <c r="Z4" s="4">
        <f>AVERAGE(AB4:AE4)</f>
        <v>0.85404999999999998</v>
      </c>
      <c r="AA4" s="4">
        <f>AVERAGE(AB4:AD4)</f>
        <v>0.81736666666666669</v>
      </c>
      <c r="AB4" s="4">
        <f t="shared" ref="AB4:AE8" si="1">AVERAGE(D4,J4,P4,V4)</f>
        <v>0.70645000000000002</v>
      </c>
      <c r="AC4" s="4">
        <f t="shared" si="1"/>
        <v>0.82385000000000008</v>
      </c>
      <c r="AD4" s="4">
        <f t="shared" si="1"/>
        <v>0.92180000000000006</v>
      </c>
      <c r="AE4" s="4">
        <f t="shared" si="1"/>
        <v>0.96409999999999996</v>
      </c>
    </row>
    <row r="5" spans="1:31" ht="30" x14ac:dyDescent="0.25">
      <c r="A5" s="86" t="s">
        <v>56</v>
      </c>
      <c r="B5" s="5">
        <v>0.35139999999999999</v>
      </c>
      <c r="C5" s="5">
        <v>0.39179999999999998</v>
      </c>
      <c r="D5" s="5">
        <v>0.28820000000000001</v>
      </c>
      <c r="E5" s="5">
        <v>0.40839999999999999</v>
      </c>
      <c r="F5" s="5">
        <v>0.41070000000000001</v>
      </c>
      <c r="G5" s="5">
        <v>0.31830000000000003</v>
      </c>
      <c r="H5" s="5">
        <v>0.3861</v>
      </c>
      <c r="I5" s="5">
        <v>0.37390000000000001</v>
      </c>
      <c r="J5" s="5">
        <v>0.2238</v>
      </c>
      <c r="K5" s="5">
        <v>0.35070000000000001</v>
      </c>
      <c r="L5" s="5">
        <v>0.43430000000000002</v>
      </c>
      <c r="M5" s="5">
        <v>0.39600000000000002</v>
      </c>
      <c r="N5" s="5">
        <v>0.43659999999999999</v>
      </c>
      <c r="O5" s="5">
        <v>0.39489999999999997</v>
      </c>
      <c r="P5" s="5">
        <v>0.1807</v>
      </c>
      <c r="Q5" s="5">
        <v>0.37290000000000001</v>
      </c>
      <c r="R5" s="5">
        <v>0.4748</v>
      </c>
      <c r="S5" s="5">
        <v>0.47139999999999999</v>
      </c>
      <c r="T5" s="5">
        <v>0.34570000000000001</v>
      </c>
      <c r="U5" s="5">
        <v>0.36280000000000001</v>
      </c>
      <c r="V5" s="5">
        <v>0.16089999999999999</v>
      </c>
      <c r="W5" s="5">
        <v>0.32690000000000002</v>
      </c>
      <c r="X5" s="5">
        <v>0.4506</v>
      </c>
      <c r="Y5" s="6">
        <v>0.33069999999999999</v>
      </c>
      <c r="Z5" s="4">
        <f>AVERAGE(AB5:AE5)</f>
        <v>0.34995625000000002</v>
      </c>
      <c r="AA5" s="4">
        <f>AVERAGE(AB5:AD5)</f>
        <v>0.34024166666666672</v>
      </c>
      <c r="AB5" s="108">
        <f t="shared" si="1"/>
        <v>0.21339999999999998</v>
      </c>
      <c r="AC5" s="108">
        <f t="shared" si="1"/>
        <v>0.36472500000000002</v>
      </c>
      <c r="AD5" s="108">
        <f t="shared" si="1"/>
        <v>0.44259999999999999</v>
      </c>
      <c r="AE5" s="108">
        <f t="shared" si="1"/>
        <v>0.37909999999999999</v>
      </c>
    </row>
    <row r="6" spans="1:31" ht="45" x14ac:dyDescent="0.25">
      <c r="A6" s="87" t="s">
        <v>57</v>
      </c>
      <c r="B6" s="7">
        <v>0.27879999999999999</v>
      </c>
      <c r="C6" s="7">
        <v>0.25929999999999997</v>
      </c>
      <c r="D6" s="7">
        <v>0.37719999999999998</v>
      </c>
      <c r="E6" s="7">
        <v>0.23319999999999999</v>
      </c>
      <c r="F6" s="7">
        <v>0.24260000000000001</v>
      </c>
      <c r="G6" s="7">
        <v>0.29480000000000001</v>
      </c>
      <c r="H6" s="7">
        <v>0.2248</v>
      </c>
      <c r="I6" s="7">
        <v>0.21179999999999999</v>
      </c>
      <c r="J6" s="7">
        <v>0.2031</v>
      </c>
      <c r="K6" s="7">
        <v>0.2157</v>
      </c>
      <c r="L6" s="7">
        <v>0.21199999999999999</v>
      </c>
      <c r="M6" s="7">
        <v>0.2354</v>
      </c>
      <c r="N6" s="7">
        <v>0.21790000000000001</v>
      </c>
      <c r="O6" s="7">
        <v>0.21970000000000001</v>
      </c>
      <c r="P6" s="7">
        <v>0.23719999999999999</v>
      </c>
      <c r="Q6" s="7">
        <v>0.22739999999999999</v>
      </c>
      <c r="R6" s="7">
        <v>0.20930000000000001</v>
      </c>
      <c r="S6" s="7">
        <v>0.21640000000000001</v>
      </c>
      <c r="T6" s="7">
        <v>0.20979999999999999</v>
      </c>
      <c r="U6" s="7">
        <v>0.23380000000000001</v>
      </c>
      <c r="V6" s="7">
        <v>0.2266</v>
      </c>
      <c r="W6" s="7">
        <v>0.27239999999999998</v>
      </c>
      <c r="X6" s="7">
        <v>0.2092</v>
      </c>
      <c r="Y6" s="8">
        <v>0.18870000000000001</v>
      </c>
      <c r="Z6" s="4">
        <f>AVERAGE(AB6:AE6)</f>
        <v>0.23757499999999998</v>
      </c>
      <c r="AA6" s="4">
        <f>AVERAGE(AB6:AD6)</f>
        <v>0.23882499999999998</v>
      </c>
      <c r="AB6" s="4">
        <f t="shared" si="1"/>
        <v>0.26102500000000001</v>
      </c>
      <c r="AC6" s="4">
        <f t="shared" si="1"/>
        <v>0.23717499999999997</v>
      </c>
      <c r="AD6" s="4">
        <f t="shared" si="1"/>
        <v>0.218275</v>
      </c>
      <c r="AE6" s="4">
        <f t="shared" si="1"/>
        <v>0.23382500000000001</v>
      </c>
    </row>
    <row r="7" spans="1:31" ht="30" x14ac:dyDescent="0.25">
      <c r="A7" s="87" t="s">
        <v>58</v>
      </c>
      <c r="B7" s="7">
        <v>0.31669999999999998</v>
      </c>
      <c r="C7" s="7">
        <v>0.25409999999999999</v>
      </c>
      <c r="D7" s="7">
        <v>0.2099</v>
      </c>
      <c r="E7" s="7">
        <v>0.2225</v>
      </c>
      <c r="F7" s="7">
        <v>0.28760000000000002</v>
      </c>
      <c r="G7" s="7">
        <v>0.3679</v>
      </c>
      <c r="H7" s="7">
        <v>0.28499999999999998</v>
      </c>
      <c r="I7" s="7">
        <v>0.2215</v>
      </c>
      <c r="J7" s="7">
        <v>9.64E-2</v>
      </c>
      <c r="K7" s="7">
        <v>0.219</v>
      </c>
      <c r="L7" s="7">
        <v>0.26079999999999998</v>
      </c>
      <c r="M7" s="7">
        <v>0.3367</v>
      </c>
      <c r="N7" s="7">
        <v>0.27029999999999998</v>
      </c>
      <c r="O7" s="7">
        <v>0.25240000000000001</v>
      </c>
      <c r="P7" s="7">
        <v>0.31059999999999999</v>
      </c>
      <c r="Q7" s="7">
        <v>0.2238</v>
      </c>
      <c r="R7" s="7">
        <v>0.25380000000000003</v>
      </c>
      <c r="S7" s="7">
        <v>0.2853</v>
      </c>
      <c r="T7" s="7">
        <v>0.33589999999999998</v>
      </c>
      <c r="U7" s="7">
        <v>0.2457</v>
      </c>
      <c r="V7" s="7">
        <v>0.31119999999999998</v>
      </c>
      <c r="W7" s="7">
        <v>0.2225</v>
      </c>
      <c r="X7" s="7">
        <v>0.24149999999999999</v>
      </c>
      <c r="Y7" s="8">
        <v>0.4148</v>
      </c>
      <c r="Z7" s="4">
        <f>AVERAGE(AB7:AE7)</f>
        <v>0.26651875000000003</v>
      </c>
      <c r="AA7" s="4">
        <f>AVERAGE(AB7:AD7)</f>
        <v>0.23830000000000004</v>
      </c>
      <c r="AB7" s="4">
        <f t="shared" si="1"/>
        <v>0.23202499999999998</v>
      </c>
      <c r="AC7" s="4">
        <f t="shared" si="1"/>
        <v>0.22195000000000001</v>
      </c>
      <c r="AD7" s="4">
        <f t="shared" si="1"/>
        <v>0.26092500000000002</v>
      </c>
      <c r="AE7" s="4">
        <f t="shared" si="1"/>
        <v>0.35117500000000001</v>
      </c>
    </row>
    <row r="8" spans="1:31" x14ac:dyDescent="0.25">
      <c r="A8" s="88" t="s">
        <v>59</v>
      </c>
      <c r="B8" s="89">
        <v>5.2999999999999999E-2</v>
      </c>
      <c r="C8" s="89">
        <v>9.4799999999999995E-2</v>
      </c>
      <c r="D8" s="89">
        <v>0.12479999999999999</v>
      </c>
      <c r="E8" s="89">
        <v>0.13589999999999999</v>
      </c>
      <c r="F8" s="89">
        <v>5.91E-2</v>
      </c>
      <c r="G8" s="89">
        <v>1.89E-2</v>
      </c>
      <c r="H8" s="89">
        <v>0.1042</v>
      </c>
      <c r="I8" s="89">
        <v>0.1928</v>
      </c>
      <c r="J8" s="89">
        <v>0.47670000000000001</v>
      </c>
      <c r="K8" s="89">
        <v>0.21460000000000001</v>
      </c>
      <c r="L8" s="89">
        <v>9.2999999999999999E-2</v>
      </c>
      <c r="M8" s="89">
        <v>3.2000000000000001E-2</v>
      </c>
      <c r="N8" s="89">
        <v>7.5200000000000003E-2</v>
      </c>
      <c r="O8" s="89">
        <v>0.13300000000000001</v>
      </c>
      <c r="P8" s="89">
        <v>0.27150000000000002</v>
      </c>
      <c r="Q8" s="89">
        <v>0.1759</v>
      </c>
      <c r="R8" s="89">
        <v>6.2100000000000002E-2</v>
      </c>
      <c r="S8" s="89">
        <v>2.69E-2</v>
      </c>
      <c r="T8" s="89">
        <v>0.1086</v>
      </c>
      <c r="U8" s="89">
        <v>0.15770000000000001</v>
      </c>
      <c r="V8" s="89">
        <v>0.30130000000000001</v>
      </c>
      <c r="W8" s="89">
        <v>0.1782</v>
      </c>
      <c r="X8" s="89">
        <v>9.8699999999999996E-2</v>
      </c>
      <c r="Y8" s="90">
        <v>6.5699999999999995E-2</v>
      </c>
      <c r="Z8" s="109">
        <f>AVERAGE(AB8:AE8)</f>
        <v>0.14595625000000001</v>
      </c>
      <c r="AA8" s="109">
        <f>AVERAGE(AB8:AD8)</f>
        <v>0.18265000000000001</v>
      </c>
      <c r="AB8" s="109">
        <f t="shared" si="1"/>
        <v>0.29357500000000003</v>
      </c>
      <c r="AC8" s="109">
        <f t="shared" si="1"/>
        <v>0.17615</v>
      </c>
      <c r="AD8" s="109">
        <f t="shared" si="1"/>
        <v>7.8225000000000003E-2</v>
      </c>
      <c r="AE8" s="109">
        <f t="shared" si="1"/>
        <v>3.5875000000000004E-2</v>
      </c>
    </row>
    <row r="9" spans="1:31" x14ac:dyDescent="0.25">
      <c r="A9" s="104"/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10"/>
      <c r="AA9" s="110"/>
      <c r="AB9" s="110"/>
      <c r="AC9" s="110"/>
      <c r="AD9" s="110"/>
      <c r="AE9" s="110"/>
    </row>
    <row r="10" spans="1:31" x14ac:dyDescent="0.25">
      <c r="A10" s="107" t="s">
        <v>349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11"/>
      <c r="AA10" s="111"/>
      <c r="AB10" s="111"/>
      <c r="AC10" s="111"/>
      <c r="AD10" s="111"/>
      <c r="AE10" s="11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U25"/>
  <sheetViews>
    <sheetView zoomScale="90" zoomScaleNormal="90" workbookViewId="0">
      <pane xSplit="1" topLeftCell="B1" activePane="topRight" state="frozen"/>
      <selection pane="topRight" activeCell="D34" sqref="D34"/>
    </sheetView>
  </sheetViews>
  <sheetFormatPr defaultRowHeight="15" x14ac:dyDescent="0.25"/>
  <cols>
    <col min="1" max="1" width="28.7109375" customWidth="1"/>
    <col min="2" max="2" width="16.28515625" customWidth="1"/>
    <col min="3" max="3" width="20" customWidth="1"/>
    <col min="4" max="4" width="18.85546875" customWidth="1"/>
    <col min="5" max="5" width="19.85546875" customWidth="1"/>
    <col min="6" max="6" width="25.85546875" customWidth="1"/>
    <col min="7" max="7" width="28" customWidth="1"/>
    <col min="8" max="8" width="23.42578125" customWidth="1"/>
    <col min="9" max="9" width="24" customWidth="1"/>
    <col min="10" max="10" width="14.85546875" customWidth="1"/>
    <col min="11" max="11" width="17" customWidth="1"/>
    <col min="12" max="12" width="24.5703125" customWidth="1"/>
    <col min="13" max="13" width="15.28515625" customWidth="1"/>
    <col min="14" max="14" width="14.140625" customWidth="1"/>
    <col min="15" max="15" width="16.140625" customWidth="1"/>
    <col min="16" max="16" width="24.5703125" customWidth="1"/>
    <col min="17" max="17" width="14.42578125" customWidth="1"/>
    <col min="18" max="18" width="15.85546875" customWidth="1"/>
    <col min="19" max="19" width="18.42578125" customWidth="1"/>
    <col min="20" max="20" width="24.5703125" customWidth="1"/>
    <col min="21" max="21" width="17.7109375" customWidth="1"/>
  </cols>
  <sheetData>
    <row r="1" spans="1:21" ht="54.75" customHeight="1" x14ac:dyDescent="0.25">
      <c r="A1" s="228" t="s">
        <v>18</v>
      </c>
      <c r="B1" s="225" t="s">
        <v>68</v>
      </c>
      <c r="C1" s="225" t="s">
        <v>70</v>
      </c>
      <c r="D1" s="225" t="s">
        <v>69</v>
      </c>
      <c r="E1" s="225" t="s">
        <v>83</v>
      </c>
      <c r="F1" s="228" t="s">
        <v>80</v>
      </c>
      <c r="G1" s="228" t="s">
        <v>81</v>
      </c>
      <c r="H1" s="228" t="s">
        <v>93</v>
      </c>
      <c r="I1" s="228" t="s">
        <v>82</v>
      </c>
      <c r="J1" s="228" t="s">
        <v>71</v>
      </c>
      <c r="K1" s="228" t="s">
        <v>72</v>
      </c>
      <c r="L1" s="228" t="s">
        <v>332</v>
      </c>
      <c r="M1" s="228" t="s">
        <v>73</v>
      </c>
      <c r="N1" s="228" t="s">
        <v>74</v>
      </c>
      <c r="O1" s="228" t="s">
        <v>75</v>
      </c>
      <c r="P1" s="228" t="s">
        <v>333</v>
      </c>
      <c r="Q1" s="228" t="s">
        <v>76</v>
      </c>
      <c r="R1" s="228" t="s">
        <v>77</v>
      </c>
      <c r="S1" s="228" t="s">
        <v>78</v>
      </c>
      <c r="T1" s="228" t="s">
        <v>334</v>
      </c>
      <c r="U1" s="228" t="s">
        <v>79</v>
      </c>
    </row>
    <row r="2" spans="1:21" x14ac:dyDescent="0.25">
      <c r="A2" s="226" t="s">
        <v>1</v>
      </c>
      <c r="B2" s="209">
        <f t="shared" ref="B2:G2" si="0">SUM(B3:B18)</f>
        <v>6466101482.0299997</v>
      </c>
      <c r="C2" s="209">
        <f t="shared" si="0"/>
        <v>172</v>
      </c>
      <c r="D2" s="209">
        <f t="shared" si="0"/>
        <v>137331973.47999999</v>
      </c>
      <c r="E2" s="209">
        <f t="shared" si="0"/>
        <v>1985342096.28</v>
      </c>
      <c r="F2" s="209">
        <f t="shared" si="0"/>
        <v>11199</v>
      </c>
      <c r="G2" s="209">
        <f t="shared" si="0"/>
        <v>2390956783.1700006</v>
      </c>
      <c r="H2" s="209">
        <f>G2/3</f>
        <v>796985594.39000022</v>
      </c>
      <c r="I2" s="209">
        <f>G2/F2</f>
        <v>213497.3464746853</v>
      </c>
      <c r="J2" s="209">
        <f>SUM(J3:J18)</f>
        <v>9432</v>
      </c>
      <c r="K2" s="209">
        <f>SUM(K3:K18)</f>
        <v>1594557653.5800004</v>
      </c>
      <c r="L2" s="209">
        <f>K2/3</f>
        <v>531519217.86000013</v>
      </c>
      <c r="M2" s="209">
        <f>K2/J2</f>
        <v>169058.27540076341</v>
      </c>
      <c r="N2" s="209">
        <f>SUM(N3:N18)</f>
        <v>1523</v>
      </c>
      <c r="O2" s="209">
        <f>SUM(O3:O18)</f>
        <v>640587679.70999992</v>
      </c>
      <c r="P2" s="209">
        <f>O2/3</f>
        <v>213529226.56999996</v>
      </c>
      <c r="Q2" s="209">
        <f>O2/N2</f>
        <v>420609.11340118182</v>
      </c>
      <c r="R2" s="209">
        <f>SUM(R3:R18)</f>
        <v>214</v>
      </c>
      <c r="S2" s="209">
        <f>SUM(S3:S18)</f>
        <v>144308187.53</v>
      </c>
      <c r="T2" s="209">
        <f>S2/3</f>
        <v>48102729.17666667</v>
      </c>
      <c r="U2" s="227">
        <f>S2/R2</f>
        <v>674337.32490654208</v>
      </c>
    </row>
    <row r="3" spans="1:21" x14ac:dyDescent="0.25">
      <c r="A3" s="131" t="s">
        <v>2</v>
      </c>
      <c r="B3" s="69">
        <v>529567488.05000001</v>
      </c>
      <c r="C3" s="69">
        <v>8</v>
      </c>
      <c r="D3" s="69">
        <v>11765757.91</v>
      </c>
      <c r="E3" s="69">
        <v>151307766.39000002</v>
      </c>
      <c r="F3" s="69">
        <v>1231</v>
      </c>
      <c r="G3" s="69">
        <v>199206731.96000001</v>
      </c>
      <c r="H3" s="69">
        <f t="shared" ref="H3:H18" si="1">G3/3</f>
        <v>66402243.986666672</v>
      </c>
      <c r="I3" s="69">
        <f>G3/F3</f>
        <v>161825.12750609263</v>
      </c>
      <c r="J3" s="69">
        <v>1115</v>
      </c>
      <c r="K3" s="69">
        <v>163255934.75999999</v>
      </c>
      <c r="L3" s="69">
        <f t="shared" ref="L3:L18" si="2">K3/3</f>
        <v>54418644.919999994</v>
      </c>
      <c r="M3" s="69">
        <f>K3/J3</f>
        <v>146417.87870852018</v>
      </c>
      <c r="N3" s="69">
        <v>98</v>
      </c>
      <c r="O3" s="69">
        <v>27492590.579999998</v>
      </c>
      <c r="P3" s="69">
        <f t="shared" ref="P3:P18" si="3">O3/3</f>
        <v>9164196.8599999994</v>
      </c>
      <c r="Q3" s="69">
        <f>O3/N3</f>
        <v>280536.63857142854</v>
      </c>
      <c r="R3" s="69">
        <v>16</v>
      </c>
      <c r="S3" s="69">
        <v>8306802.6200000001</v>
      </c>
      <c r="T3" s="69">
        <f t="shared" ref="T3:T18" si="4">S3/3</f>
        <v>2768934.2066666665</v>
      </c>
      <c r="U3" s="133">
        <f>S3/R3</f>
        <v>519175.16375000001</v>
      </c>
    </row>
    <row r="4" spans="1:21" x14ac:dyDescent="0.25">
      <c r="A4" s="131" t="s">
        <v>3</v>
      </c>
      <c r="B4" s="69">
        <v>868172529.16999996</v>
      </c>
      <c r="C4" s="69">
        <v>10</v>
      </c>
      <c r="D4" s="69">
        <v>8440744.5800000001</v>
      </c>
      <c r="E4" s="69">
        <v>129063938.69999999</v>
      </c>
      <c r="F4" s="69">
        <v>584</v>
      </c>
      <c r="G4" s="69">
        <v>147478962.05000004</v>
      </c>
      <c r="H4" s="69">
        <f t="shared" si="1"/>
        <v>49159654.016666681</v>
      </c>
      <c r="I4" s="69">
        <f t="shared" ref="I4:I18" si="5">G4/F4</f>
        <v>252532.4692636987</v>
      </c>
      <c r="J4" s="69">
        <v>457</v>
      </c>
      <c r="K4" s="69">
        <v>73874511.620000005</v>
      </c>
      <c r="L4" s="69">
        <f t="shared" si="2"/>
        <v>24624837.206666667</v>
      </c>
      <c r="M4" s="69">
        <f>K4/J4</f>
        <v>161651.0101094092</v>
      </c>
      <c r="N4" s="69">
        <v>111</v>
      </c>
      <c r="O4" s="69">
        <v>62627800.43</v>
      </c>
      <c r="P4" s="69">
        <f t="shared" si="3"/>
        <v>20875933.476666667</v>
      </c>
      <c r="Q4" s="69">
        <f>O4/N4</f>
        <v>564214.41828828829</v>
      </c>
      <c r="R4" s="69">
        <v>13</v>
      </c>
      <c r="S4" s="69">
        <v>9644650</v>
      </c>
      <c r="T4" s="69">
        <f t="shared" si="4"/>
        <v>3214883.3333333335</v>
      </c>
      <c r="U4" s="133">
        <f>S4/R4</f>
        <v>741896.15384615387</v>
      </c>
    </row>
    <row r="5" spans="1:21" x14ac:dyDescent="0.25">
      <c r="A5" s="131" t="s">
        <v>4</v>
      </c>
      <c r="B5" s="69">
        <v>346081521.81999999</v>
      </c>
      <c r="C5" s="69">
        <v>11</v>
      </c>
      <c r="D5" s="69">
        <v>8739897.2599999998</v>
      </c>
      <c r="E5" s="69">
        <v>98881647.920000002</v>
      </c>
      <c r="F5" s="69">
        <v>583</v>
      </c>
      <c r="G5" s="69">
        <v>136401852.97999999</v>
      </c>
      <c r="H5" s="69">
        <f t="shared" si="1"/>
        <v>45467284.326666661</v>
      </c>
      <c r="I5" s="69">
        <f t="shared" si="5"/>
        <v>233965.44250428813</v>
      </c>
      <c r="J5" s="69">
        <v>450</v>
      </c>
      <c r="K5" s="69">
        <v>89488550.670000002</v>
      </c>
      <c r="L5" s="69">
        <f t="shared" si="2"/>
        <v>29829516.890000001</v>
      </c>
      <c r="M5" s="69">
        <f t="shared" ref="M5:M18" si="6">K5/J5</f>
        <v>198863.44593333334</v>
      </c>
      <c r="N5" s="69">
        <v>117</v>
      </c>
      <c r="O5" s="69">
        <v>35014847.600000001</v>
      </c>
      <c r="P5" s="69">
        <f t="shared" si="3"/>
        <v>11671615.866666667</v>
      </c>
      <c r="Q5" s="69">
        <f t="shared" ref="Q5:Q18" si="7">O5/N5</f>
        <v>299272.20170940174</v>
      </c>
      <c r="R5" s="69">
        <v>16</v>
      </c>
      <c r="S5" s="69">
        <v>11898454.710000001</v>
      </c>
      <c r="T5" s="69">
        <f t="shared" si="4"/>
        <v>3966151.5700000003</v>
      </c>
      <c r="U5" s="133">
        <f t="shared" ref="U5:U18" si="8">S5/R5</f>
        <v>743653.41937500006</v>
      </c>
    </row>
    <row r="6" spans="1:21" x14ac:dyDescent="0.25">
      <c r="A6" s="131" t="s">
        <v>5</v>
      </c>
      <c r="B6" s="69">
        <v>259607133.34</v>
      </c>
      <c r="C6" s="69">
        <v>11</v>
      </c>
      <c r="D6" s="69">
        <v>4241350.0999999996</v>
      </c>
      <c r="E6" s="69">
        <v>50153566.920000002</v>
      </c>
      <c r="F6" s="69">
        <v>321</v>
      </c>
      <c r="G6" s="69">
        <v>56890320.75</v>
      </c>
      <c r="H6" s="69">
        <f t="shared" si="1"/>
        <v>18963440.25</v>
      </c>
      <c r="I6" s="69">
        <f t="shared" si="5"/>
        <v>177228.41355140187</v>
      </c>
      <c r="J6" s="69">
        <v>289</v>
      </c>
      <c r="K6" s="69">
        <v>39936331.609999999</v>
      </c>
      <c r="L6" s="69">
        <f t="shared" si="2"/>
        <v>13312110.536666667</v>
      </c>
      <c r="M6" s="69">
        <f t="shared" si="6"/>
        <v>138187.99865051903</v>
      </c>
      <c r="N6" s="69">
        <v>29</v>
      </c>
      <c r="O6" s="69">
        <v>15683195.76</v>
      </c>
      <c r="P6" s="69">
        <f t="shared" si="3"/>
        <v>5227731.92</v>
      </c>
      <c r="Q6" s="69">
        <f t="shared" si="7"/>
        <v>540799.85379310348</v>
      </c>
      <c r="R6" s="69">
        <v>3</v>
      </c>
      <c r="S6" s="69">
        <v>1270793.3799999999</v>
      </c>
      <c r="T6" s="69">
        <f t="shared" si="4"/>
        <v>423597.79333333328</v>
      </c>
      <c r="U6" s="133">
        <f t="shared" si="8"/>
        <v>423597.79333333328</v>
      </c>
    </row>
    <row r="7" spans="1:21" x14ac:dyDescent="0.25">
      <c r="A7" s="131" t="s">
        <v>6</v>
      </c>
      <c r="B7" s="69">
        <v>523846062.54000002</v>
      </c>
      <c r="C7" s="69">
        <v>10</v>
      </c>
      <c r="D7" s="69">
        <v>13757018.98</v>
      </c>
      <c r="E7" s="69">
        <v>210723495.81</v>
      </c>
      <c r="F7" s="69">
        <v>936</v>
      </c>
      <c r="G7" s="69">
        <v>233879254.83000001</v>
      </c>
      <c r="H7" s="69">
        <f t="shared" si="1"/>
        <v>77959751.609999999</v>
      </c>
      <c r="I7" s="69">
        <f t="shared" si="5"/>
        <v>249870.99875000003</v>
      </c>
      <c r="J7" s="69">
        <v>780</v>
      </c>
      <c r="K7" s="69">
        <v>132520187.81999999</v>
      </c>
      <c r="L7" s="69">
        <f t="shared" si="2"/>
        <v>44173395.939999998</v>
      </c>
      <c r="M7" s="69">
        <f t="shared" si="6"/>
        <v>169897.67669230769</v>
      </c>
      <c r="N7" s="69">
        <v>114</v>
      </c>
      <c r="O7" s="69">
        <v>69207175.329999998</v>
      </c>
      <c r="P7" s="69">
        <f t="shared" si="3"/>
        <v>23069058.443333331</v>
      </c>
      <c r="Q7" s="69">
        <f t="shared" si="7"/>
        <v>607080.48535087716</v>
      </c>
      <c r="R7" s="69">
        <v>36</v>
      </c>
      <c r="S7" s="69">
        <v>27722349.960000001</v>
      </c>
      <c r="T7" s="69">
        <f t="shared" si="4"/>
        <v>9240783.3200000003</v>
      </c>
      <c r="U7" s="133">
        <f t="shared" si="8"/>
        <v>770065.27666666673</v>
      </c>
    </row>
    <row r="8" spans="1:21" x14ac:dyDescent="0.25">
      <c r="A8" s="131" t="s">
        <v>7</v>
      </c>
      <c r="B8" s="69">
        <v>312698826</v>
      </c>
      <c r="C8" s="69">
        <v>13</v>
      </c>
      <c r="D8" s="69">
        <v>9252912.9800000004</v>
      </c>
      <c r="E8" s="69">
        <v>136249723.62</v>
      </c>
      <c r="F8" s="69">
        <v>830</v>
      </c>
      <c r="G8" s="69">
        <v>171989703.64999998</v>
      </c>
      <c r="H8" s="69">
        <f t="shared" si="1"/>
        <v>57329901.216666661</v>
      </c>
      <c r="I8" s="69">
        <f t="shared" si="5"/>
        <v>207216.51042168672</v>
      </c>
      <c r="J8" s="69">
        <v>654</v>
      </c>
      <c r="K8" s="69">
        <v>107352598.76000001</v>
      </c>
      <c r="L8" s="69">
        <f t="shared" si="2"/>
        <v>35784199.586666666</v>
      </c>
      <c r="M8" s="69">
        <f t="shared" si="6"/>
        <v>164147.7045259939</v>
      </c>
      <c r="N8" s="69">
        <v>157</v>
      </c>
      <c r="O8" s="69">
        <v>54418543.579999998</v>
      </c>
      <c r="P8" s="69">
        <f t="shared" si="3"/>
        <v>18139514.526666667</v>
      </c>
      <c r="Q8" s="69">
        <f t="shared" si="7"/>
        <v>346614.92726114648</v>
      </c>
      <c r="R8" s="69">
        <v>18</v>
      </c>
      <c r="S8" s="69">
        <v>10117461.310000001</v>
      </c>
      <c r="T8" s="69">
        <f t="shared" si="4"/>
        <v>3372487.1033333335</v>
      </c>
      <c r="U8" s="133">
        <f t="shared" si="8"/>
        <v>562081.18388888892</v>
      </c>
    </row>
    <row r="9" spans="1:21" x14ac:dyDescent="0.25">
      <c r="A9" s="131" t="s">
        <v>8</v>
      </c>
      <c r="B9" s="69">
        <v>282171053.75</v>
      </c>
      <c r="C9" s="69">
        <v>5</v>
      </c>
      <c r="D9" s="69">
        <v>4477297.21</v>
      </c>
      <c r="E9" s="69">
        <v>56919197.090000004</v>
      </c>
      <c r="F9" s="69">
        <v>257</v>
      </c>
      <c r="G9" s="69">
        <v>78228998.920000002</v>
      </c>
      <c r="H9" s="69">
        <f t="shared" si="1"/>
        <v>26076332.973333333</v>
      </c>
      <c r="I9" s="69">
        <f t="shared" si="5"/>
        <v>304392.9919066148</v>
      </c>
      <c r="J9" s="69">
        <v>221</v>
      </c>
      <c r="K9" s="69">
        <v>45006643.619999997</v>
      </c>
      <c r="L9" s="69">
        <f t="shared" si="2"/>
        <v>15002214.539999999</v>
      </c>
      <c r="M9" s="69">
        <f t="shared" si="6"/>
        <v>203649.97113122171</v>
      </c>
      <c r="N9" s="69">
        <v>32</v>
      </c>
      <c r="O9" s="69">
        <v>29122735.420000002</v>
      </c>
      <c r="P9" s="69">
        <f t="shared" si="3"/>
        <v>9707578.4733333346</v>
      </c>
      <c r="Q9" s="69">
        <f t="shared" si="7"/>
        <v>910085.48187500006</v>
      </c>
      <c r="R9" s="69">
        <v>4</v>
      </c>
      <c r="S9" s="69">
        <v>4099619.88</v>
      </c>
      <c r="T9" s="69">
        <f t="shared" si="4"/>
        <v>1366539.96</v>
      </c>
      <c r="U9" s="133">
        <f t="shared" si="8"/>
        <v>1024904.97</v>
      </c>
    </row>
    <row r="10" spans="1:21" x14ac:dyDescent="0.25">
      <c r="A10" s="131" t="s">
        <v>9</v>
      </c>
      <c r="B10" s="69">
        <v>181264765.41999999</v>
      </c>
      <c r="C10" s="69">
        <v>10</v>
      </c>
      <c r="D10" s="69">
        <v>6948422.71</v>
      </c>
      <c r="E10" s="69">
        <v>117917814.31999999</v>
      </c>
      <c r="F10" s="69">
        <v>544</v>
      </c>
      <c r="G10" s="69">
        <v>148021660.85999998</v>
      </c>
      <c r="H10" s="69">
        <f t="shared" si="1"/>
        <v>49340553.619999997</v>
      </c>
      <c r="I10" s="69">
        <f t="shared" si="5"/>
        <v>272098.6412867647</v>
      </c>
      <c r="J10" s="69">
        <v>435</v>
      </c>
      <c r="K10" s="69">
        <v>95076410.49000001</v>
      </c>
      <c r="L10" s="69">
        <f t="shared" si="2"/>
        <v>31692136.830000002</v>
      </c>
      <c r="M10" s="69">
        <f t="shared" si="6"/>
        <v>218566.46089655175</v>
      </c>
      <c r="N10" s="69">
        <v>92</v>
      </c>
      <c r="O10" s="69">
        <v>47184842.839999996</v>
      </c>
      <c r="P10" s="69">
        <f t="shared" si="3"/>
        <v>15728280.946666665</v>
      </c>
      <c r="Q10" s="69">
        <f t="shared" si="7"/>
        <v>512878.7265217391</v>
      </c>
      <c r="R10" s="69">
        <v>12</v>
      </c>
      <c r="S10" s="69">
        <v>5066756.6400000006</v>
      </c>
      <c r="T10" s="69">
        <f t="shared" si="4"/>
        <v>1688918.8800000001</v>
      </c>
      <c r="U10" s="133">
        <f t="shared" si="8"/>
        <v>422229.72000000003</v>
      </c>
    </row>
    <row r="11" spans="1:21" x14ac:dyDescent="0.25">
      <c r="A11" s="131" t="s">
        <v>10</v>
      </c>
      <c r="B11" s="69">
        <v>268628338.73000002</v>
      </c>
      <c r="C11" s="69">
        <v>13</v>
      </c>
      <c r="D11" s="69">
        <v>7309011.9600000009</v>
      </c>
      <c r="E11" s="69">
        <v>104034579.23</v>
      </c>
      <c r="F11" s="69">
        <v>613</v>
      </c>
      <c r="G11" s="69">
        <v>132261540.40000001</v>
      </c>
      <c r="H11" s="69">
        <f t="shared" si="1"/>
        <v>44087180.133333333</v>
      </c>
      <c r="I11" s="69">
        <f t="shared" si="5"/>
        <v>215761.07732463296</v>
      </c>
      <c r="J11" s="69">
        <v>437</v>
      </c>
      <c r="K11" s="69">
        <v>77745522.060000002</v>
      </c>
      <c r="L11" s="69">
        <f t="shared" si="2"/>
        <v>25915174.02</v>
      </c>
      <c r="M11" s="69">
        <f t="shared" si="6"/>
        <v>177907.37313501144</v>
      </c>
      <c r="N11" s="69">
        <v>144</v>
      </c>
      <c r="O11" s="69">
        <v>44432564.229999997</v>
      </c>
      <c r="P11" s="69">
        <f t="shared" si="3"/>
        <v>14810854.743333332</v>
      </c>
      <c r="Q11" s="69">
        <f t="shared" si="7"/>
        <v>308559.47381944442</v>
      </c>
      <c r="R11" s="69">
        <v>30</v>
      </c>
      <c r="S11" s="69">
        <v>9663454.1099999994</v>
      </c>
      <c r="T11" s="69">
        <f t="shared" si="4"/>
        <v>3221151.3699999996</v>
      </c>
      <c r="U11" s="133">
        <f t="shared" si="8"/>
        <v>322115.13699999999</v>
      </c>
    </row>
    <row r="12" spans="1:21" x14ac:dyDescent="0.25">
      <c r="A12" s="131" t="s">
        <v>11</v>
      </c>
      <c r="B12" s="69">
        <v>203797647.10000002</v>
      </c>
      <c r="C12" s="69">
        <v>13</v>
      </c>
      <c r="D12" s="69">
        <v>4083467.6700000004</v>
      </c>
      <c r="E12" s="69">
        <v>55815970.299999997</v>
      </c>
      <c r="F12" s="69">
        <v>195</v>
      </c>
      <c r="G12" s="69">
        <v>66266547.420000002</v>
      </c>
      <c r="H12" s="69">
        <f t="shared" si="1"/>
        <v>22088849.140000001</v>
      </c>
      <c r="I12" s="69">
        <f t="shared" si="5"/>
        <v>339828.44830769231</v>
      </c>
      <c r="J12" s="69">
        <v>144</v>
      </c>
      <c r="K12" s="69">
        <v>33619217.140000001</v>
      </c>
      <c r="L12" s="69">
        <f t="shared" si="2"/>
        <v>11206405.713333333</v>
      </c>
      <c r="M12" s="69">
        <f t="shared" si="6"/>
        <v>233466.78569444444</v>
      </c>
      <c r="N12" s="69">
        <v>38</v>
      </c>
      <c r="O12" s="69">
        <v>21348846.82</v>
      </c>
      <c r="P12" s="69">
        <f t="shared" si="3"/>
        <v>7116282.2733333334</v>
      </c>
      <c r="Q12" s="69">
        <f t="shared" si="7"/>
        <v>561811.7584210526</v>
      </c>
      <c r="R12" s="69">
        <v>11</v>
      </c>
      <c r="S12" s="69">
        <v>9135347</v>
      </c>
      <c r="T12" s="69">
        <f t="shared" si="4"/>
        <v>3045115.6666666665</v>
      </c>
      <c r="U12" s="133">
        <f t="shared" si="8"/>
        <v>830486.09090909094</v>
      </c>
    </row>
    <row r="13" spans="1:21" x14ac:dyDescent="0.25">
      <c r="A13" s="131" t="s">
        <v>12</v>
      </c>
      <c r="B13" s="69">
        <v>429910400.81999999</v>
      </c>
      <c r="C13" s="69">
        <v>9</v>
      </c>
      <c r="D13" s="69">
        <v>16054487</v>
      </c>
      <c r="E13" s="69">
        <v>223187377.21000001</v>
      </c>
      <c r="F13" s="69">
        <v>1526</v>
      </c>
      <c r="G13" s="69">
        <v>268869754.85000014</v>
      </c>
      <c r="H13" s="69">
        <f t="shared" si="1"/>
        <v>89623251.616666719</v>
      </c>
      <c r="I13" s="69">
        <f t="shared" si="5"/>
        <v>176192.49990170391</v>
      </c>
      <c r="J13" s="69">
        <v>1406</v>
      </c>
      <c r="K13" s="69">
        <v>221109562.89000013</v>
      </c>
      <c r="L13" s="69">
        <f t="shared" si="2"/>
        <v>73703187.63000004</v>
      </c>
      <c r="M13" s="69">
        <f t="shared" si="6"/>
        <v>157261.42453058332</v>
      </c>
      <c r="N13" s="69">
        <v>113</v>
      </c>
      <c r="O13" s="69">
        <v>38910191.969999999</v>
      </c>
      <c r="P13" s="69">
        <f t="shared" si="3"/>
        <v>12970063.99</v>
      </c>
      <c r="Q13" s="69">
        <f t="shared" si="7"/>
        <v>344337.98203539819</v>
      </c>
      <c r="R13" s="69">
        <v>6</v>
      </c>
      <c r="S13" s="69">
        <v>8549999.9900000002</v>
      </c>
      <c r="T13" s="69">
        <f t="shared" si="4"/>
        <v>2849999.9966666666</v>
      </c>
      <c r="U13" s="133">
        <f t="shared" si="8"/>
        <v>1424999.9983333333</v>
      </c>
    </row>
    <row r="14" spans="1:21" x14ac:dyDescent="0.25">
      <c r="A14" s="131" t="s">
        <v>13</v>
      </c>
      <c r="B14" s="69">
        <v>631772705.88</v>
      </c>
      <c r="C14" s="69">
        <v>3</v>
      </c>
      <c r="D14" s="69">
        <v>5384745.5899999999</v>
      </c>
      <c r="E14" s="69">
        <v>66384483.850000001</v>
      </c>
      <c r="F14" s="69">
        <v>154</v>
      </c>
      <c r="G14" s="69">
        <v>81646751.25</v>
      </c>
      <c r="H14" s="69">
        <f t="shared" si="1"/>
        <v>27215583.75</v>
      </c>
      <c r="I14" s="69">
        <f t="shared" si="5"/>
        <v>530173.70941558445</v>
      </c>
      <c r="J14" s="69">
        <v>98</v>
      </c>
      <c r="K14" s="69">
        <v>18548469.289999999</v>
      </c>
      <c r="L14" s="69">
        <f t="shared" si="2"/>
        <v>6182823.0966666667</v>
      </c>
      <c r="M14" s="69">
        <f t="shared" si="6"/>
        <v>189270.09479591835</v>
      </c>
      <c r="N14" s="69">
        <v>45</v>
      </c>
      <c r="O14" s="69">
        <v>45423281.960000001</v>
      </c>
      <c r="P14" s="69">
        <f t="shared" si="3"/>
        <v>15141093.986666666</v>
      </c>
      <c r="Q14" s="69">
        <f t="shared" si="7"/>
        <v>1009406.2657777778</v>
      </c>
      <c r="R14" s="69">
        <v>11</v>
      </c>
      <c r="S14" s="69">
        <v>17675000</v>
      </c>
      <c r="T14" s="69">
        <f t="shared" si="4"/>
        <v>5891666.666666667</v>
      </c>
      <c r="U14" s="133">
        <f t="shared" si="8"/>
        <v>1606818.1818181819</v>
      </c>
    </row>
    <row r="15" spans="1:21" x14ac:dyDescent="0.25">
      <c r="A15" s="131" t="s">
        <v>14</v>
      </c>
      <c r="B15" s="69">
        <v>245647058.81999999</v>
      </c>
      <c r="C15" s="69">
        <v>5</v>
      </c>
      <c r="D15" s="69">
        <v>4187012.8</v>
      </c>
      <c r="E15" s="69">
        <v>74468659.25</v>
      </c>
      <c r="F15" s="69">
        <v>535</v>
      </c>
      <c r="G15" s="69">
        <v>89539507.23999998</v>
      </c>
      <c r="H15" s="69">
        <f t="shared" si="1"/>
        <v>29846502.413333327</v>
      </c>
      <c r="I15" s="69">
        <f t="shared" si="5"/>
        <v>167363.56493457939</v>
      </c>
      <c r="J15" s="69">
        <v>473</v>
      </c>
      <c r="K15" s="69">
        <v>66349656.700000003</v>
      </c>
      <c r="L15" s="69">
        <f t="shared" si="2"/>
        <v>22116552.233333334</v>
      </c>
      <c r="M15" s="69">
        <f t="shared" si="6"/>
        <v>140274.1156448203</v>
      </c>
      <c r="N15" s="69">
        <v>57</v>
      </c>
      <c r="O15" s="69">
        <v>19671626.079999998</v>
      </c>
      <c r="P15" s="69">
        <f t="shared" si="3"/>
        <v>6557208.6933333324</v>
      </c>
      <c r="Q15" s="69">
        <f t="shared" si="7"/>
        <v>345116.24701754382</v>
      </c>
      <c r="R15" s="69">
        <v>4</v>
      </c>
      <c r="S15" s="69">
        <v>3313060.46</v>
      </c>
      <c r="T15" s="69">
        <f t="shared" si="4"/>
        <v>1104353.4866666666</v>
      </c>
      <c r="U15" s="133">
        <f t="shared" si="8"/>
        <v>828265.11499999999</v>
      </c>
    </row>
    <row r="16" spans="1:21" x14ac:dyDescent="0.25">
      <c r="A16" s="131" t="s">
        <v>15</v>
      </c>
      <c r="B16" s="69">
        <v>298926529.40999997</v>
      </c>
      <c r="C16" s="69">
        <v>12</v>
      </c>
      <c r="D16" s="69">
        <v>5633877.6499999994</v>
      </c>
      <c r="E16" s="69">
        <v>78002541.930000007</v>
      </c>
      <c r="F16" s="69">
        <v>395</v>
      </c>
      <c r="G16" s="69">
        <v>81773110.409999982</v>
      </c>
      <c r="H16" s="69">
        <f t="shared" si="1"/>
        <v>27257703.469999995</v>
      </c>
      <c r="I16" s="69">
        <f t="shared" si="5"/>
        <v>207020.53268354427</v>
      </c>
      <c r="J16" s="69">
        <v>356</v>
      </c>
      <c r="K16" s="69">
        <v>63116469.73999998</v>
      </c>
      <c r="L16" s="69">
        <f t="shared" si="2"/>
        <v>21038823.246666659</v>
      </c>
      <c r="M16" s="69">
        <f t="shared" si="6"/>
        <v>177293.45432584264</v>
      </c>
      <c r="N16" s="69">
        <v>34</v>
      </c>
      <c r="O16" s="69">
        <v>16470140.669999998</v>
      </c>
      <c r="P16" s="69">
        <f t="shared" si="3"/>
        <v>5490046.8899999997</v>
      </c>
      <c r="Q16" s="69">
        <f t="shared" si="7"/>
        <v>484415.9020588235</v>
      </c>
      <c r="R16" s="69">
        <v>4</v>
      </c>
      <c r="S16" s="69">
        <v>1886500</v>
      </c>
      <c r="T16" s="69">
        <f t="shared" si="4"/>
        <v>628833.33333333337</v>
      </c>
      <c r="U16" s="133">
        <f t="shared" si="8"/>
        <v>471625</v>
      </c>
    </row>
    <row r="17" spans="1:21" x14ac:dyDescent="0.25">
      <c r="A17" s="131" t="s">
        <v>16</v>
      </c>
      <c r="B17" s="69">
        <v>712588209.41999996</v>
      </c>
      <c r="C17" s="69">
        <v>26</v>
      </c>
      <c r="D17" s="69">
        <v>19088005.91</v>
      </c>
      <c r="E17" s="69">
        <v>298091267.88</v>
      </c>
      <c r="F17" s="69">
        <v>1876</v>
      </c>
      <c r="G17" s="69">
        <v>342233416.83999979</v>
      </c>
      <c r="H17" s="69">
        <f t="shared" si="1"/>
        <v>114077805.61333327</v>
      </c>
      <c r="I17" s="69">
        <f t="shared" si="5"/>
        <v>182427.19447761183</v>
      </c>
      <c r="J17" s="69">
        <v>1561</v>
      </c>
      <c r="K17" s="69">
        <v>238767531.03999999</v>
      </c>
      <c r="L17" s="69">
        <f t="shared" si="2"/>
        <v>79589177.013333336</v>
      </c>
      <c r="M17" s="69">
        <f t="shared" si="6"/>
        <v>152958.05960281871</v>
      </c>
      <c r="N17" s="69">
        <v>284</v>
      </c>
      <c r="O17" s="69">
        <v>89738994.040000007</v>
      </c>
      <c r="P17" s="69">
        <f t="shared" si="3"/>
        <v>29912998.013333336</v>
      </c>
      <c r="Q17" s="69">
        <f t="shared" si="7"/>
        <v>315982.37338028173</v>
      </c>
      <c r="R17" s="69">
        <v>25</v>
      </c>
      <c r="S17" s="69">
        <v>12319626.48</v>
      </c>
      <c r="T17" s="69">
        <f t="shared" si="4"/>
        <v>4106542.16</v>
      </c>
      <c r="U17" s="133">
        <f t="shared" si="8"/>
        <v>492785.05920000002</v>
      </c>
    </row>
    <row r="18" spans="1:21" x14ac:dyDescent="0.25">
      <c r="A18" s="134" t="s">
        <v>17</v>
      </c>
      <c r="B18" s="69">
        <v>371421211.75999999</v>
      </c>
      <c r="C18" s="69">
        <v>13</v>
      </c>
      <c r="D18" s="69">
        <v>7967963.1699999999</v>
      </c>
      <c r="E18" s="69">
        <v>134140065.86</v>
      </c>
      <c r="F18" s="69">
        <v>619</v>
      </c>
      <c r="G18" s="69">
        <v>156268668.76000005</v>
      </c>
      <c r="H18" s="69">
        <f t="shared" si="1"/>
        <v>52089556.253333353</v>
      </c>
      <c r="I18" s="69">
        <f t="shared" si="5"/>
        <v>252453.4228756059</v>
      </c>
      <c r="J18" s="69">
        <v>556</v>
      </c>
      <c r="K18" s="69">
        <v>128790055.37000003</v>
      </c>
      <c r="L18" s="69">
        <f t="shared" si="2"/>
        <v>42930018.456666678</v>
      </c>
      <c r="M18" s="69">
        <f t="shared" si="6"/>
        <v>231636.79023381302</v>
      </c>
      <c r="N18" s="69">
        <v>58</v>
      </c>
      <c r="O18" s="69">
        <v>23840302.399999995</v>
      </c>
      <c r="P18" s="69">
        <f t="shared" si="3"/>
        <v>7946767.4666666649</v>
      </c>
      <c r="Q18" s="69">
        <f t="shared" si="7"/>
        <v>411039.69655172405</v>
      </c>
      <c r="R18" s="69">
        <v>5</v>
      </c>
      <c r="S18" s="69">
        <v>3638310.9899999998</v>
      </c>
      <c r="T18" s="69">
        <f t="shared" si="4"/>
        <v>1212770.3299999998</v>
      </c>
      <c r="U18" s="133">
        <f t="shared" si="8"/>
        <v>727662.19799999997</v>
      </c>
    </row>
    <row r="19" spans="1:21" s="3" customFormat="1" x14ac:dyDescent="0.25">
      <c r="A19" s="186"/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</row>
    <row r="20" spans="1:21" s="3" customFormat="1" ht="15" customHeight="1" x14ac:dyDescent="0.25">
      <c r="A20" s="263" t="s">
        <v>92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262"/>
    </row>
    <row r="25" spans="1:21" x14ac:dyDescent="0.25">
      <c r="G25" s="8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3"/>
  <sheetViews>
    <sheetView tabSelected="1" zoomScale="90" zoomScaleNormal="90" workbookViewId="0">
      <pane xSplit="1" topLeftCell="B1" activePane="topRight" state="frozen"/>
      <selection pane="topRight" activeCell="F22" sqref="F22"/>
    </sheetView>
  </sheetViews>
  <sheetFormatPr defaultRowHeight="15" x14ac:dyDescent="0.25"/>
  <cols>
    <col min="1" max="1" width="29.28515625" customWidth="1"/>
    <col min="2" max="2" width="19.5703125" customWidth="1"/>
    <col min="3" max="5" width="12" customWidth="1"/>
    <col min="6" max="6" width="17.140625" customWidth="1"/>
    <col min="7" max="9" width="12" customWidth="1"/>
    <col min="10" max="10" width="14.28515625" customWidth="1"/>
    <col min="11" max="11" width="14" customWidth="1"/>
    <col min="12" max="12" width="30.7109375" customWidth="1"/>
    <col min="13" max="13" width="13.7109375" customWidth="1"/>
    <col min="14" max="14" width="13" customWidth="1"/>
    <col min="15" max="15" width="13.140625" customWidth="1"/>
    <col min="16" max="16" width="19.85546875" customWidth="1"/>
    <col min="17" max="19" width="14.85546875" customWidth="1"/>
    <col min="20" max="20" width="18.140625" customWidth="1"/>
    <col min="21" max="22" width="13.140625" customWidth="1"/>
    <col min="23" max="23" width="22" customWidth="1"/>
    <col min="24" max="24" width="13" customWidth="1"/>
    <col min="25" max="25" width="19.140625" customWidth="1"/>
    <col min="26" max="28" width="13" customWidth="1"/>
    <col min="29" max="29" width="26.42578125" customWidth="1"/>
    <col min="30" max="30" width="13.140625" customWidth="1"/>
    <col min="31" max="32" width="13" customWidth="1"/>
    <col min="33" max="33" width="20.28515625" customWidth="1"/>
    <col min="34" max="34" width="13" customWidth="1"/>
    <col min="35" max="35" width="29.42578125" customWidth="1"/>
    <col min="36" max="38" width="13" customWidth="1"/>
    <col min="39" max="39" width="25.5703125" customWidth="1"/>
    <col min="40" max="42" width="13" customWidth="1"/>
    <col min="43" max="43" width="28.7109375" customWidth="1"/>
    <col min="44" max="44" width="19" customWidth="1"/>
    <col min="45" max="45" width="23.85546875" customWidth="1"/>
    <col min="46" max="48" width="13" customWidth="1"/>
    <col min="49" max="49" width="27.7109375" customWidth="1"/>
    <col min="50" max="52" width="13" customWidth="1"/>
    <col min="53" max="53" width="23" customWidth="1"/>
    <col min="54" max="54" width="14.140625" customWidth="1"/>
    <col min="55" max="55" width="34.5703125" customWidth="1"/>
    <col min="56" max="58" width="13" customWidth="1"/>
    <col min="59" max="59" width="22.7109375" customWidth="1"/>
    <col min="60" max="62" width="13" customWidth="1"/>
    <col min="63" max="63" width="16.85546875" customWidth="1"/>
    <col min="64" max="65" width="13" customWidth="1"/>
    <col min="66" max="66" width="12.140625" bestFit="1" customWidth="1"/>
    <col min="67" max="67" width="9.7109375" bestFit="1" customWidth="1"/>
    <col min="68" max="68" width="14.85546875" bestFit="1" customWidth="1"/>
  </cols>
  <sheetData>
    <row r="1" spans="1:68" ht="70.5" customHeight="1" thickBot="1" x14ac:dyDescent="0.3">
      <c r="A1" s="148" t="s">
        <v>18</v>
      </c>
      <c r="B1" s="148" t="s">
        <v>53</v>
      </c>
      <c r="C1" s="148" t="s">
        <v>20</v>
      </c>
      <c r="D1" s="148" t="s">
        <v>21</v>
      </c>
      <c r="E1" s="148" t="s">
        <v>22</v>
      </c>
      <c r="F1" s="148" t="s">
        <v>390</v>
      </c>
      <c r="G1" s="148" t="s">
        <v>391</v>
      </c>
      <c r="H1" s="148" t="s">
        <v>392</v>
      </c>
      <c r="I1" s="148" t="s">
        <v>393</v>
      </c>
      <c r="J1" s="148" t="s">
        <v>394</v>
      </c>
      <c r="K1" s="148" t="s">
        <v>395</v>
      </c>
      <c r="L1" s="270" t="s">
        <v>64</v>
      </c>
      <c r="M1" s="270" t="s">
        <v>210</v>
      </c>
      <c r="N1" s="270" t="s">
        <v>217</v>
      </c>
      <c r="O1" s="270" t="s">
        <v>218</v>
      </c>
      <c r="P1" s="270" t="s">
        <v>133</v>
      </c>
      <c r="Q1" s="270" t="s">
        <v>216</v>
      </c>
      <c r="R1" s="270" t="s">
        <v>223</v>
      </c>
      <c r="S1" s="270" t="s">
        <v>224</v>
      </c>
      <c r="T1" s="270" t="s">
        <v>386</v>
      </c>
      <c r="U1" s="270" t="s">
        <v>388</v>
      </c>
      <c r="V1" s="270" t="s">
        <v>387</v>
      </c>
      <c r="W1" s="270" t="s">
        <v>135</v>
      </c>
      <c r="X1" s="270" t="s">
        <v>389</v>
      </c>
      <c r="Y1" s="270" t="s">
        <v>86</v>
      </c>
      <c r="Z1" s="270" t="s">
        <v>204</v>
      </c>
      <c r="AA1" s="270" t="s">
        <v>205</v>
      </c>
      <c r="AB1" s="270" t="s">
        <v>206</v>
      </c>
      <c r="AC1" s="270" t="s">
        <v>140</v>
      </c>
      <c r="AD1" s="270" t="s">
        <v>222</v>
      </c>
      <c r="AE1" s="270" t="s">
        <v>211</v>
      </c>
      <c r="AF1" s="270" t="s">
        <v>212</v>
      </c>
      <c r="AG1" s="270" t="s">
        <v>87</v>
      </c>
      <c r="AH1" s="270" t="s">
        <v>396</v>
      </c>
      <c r="AI1" s="270" t="s">
        <v>134</v>
      </c>
      <c r="AJ1" s="270" t="s">
        <v>228</v>
      </c>
      <c r="AK1" s="270" t="s">
        <v>229</v>
      </c>
      <c r="AL1" s="270" t="s">
        <v>230</v>
      </c>
      <c r="AM1" s="270" t="s">
        <v>144</v>
      </c>
      <c r="AN1" s="270" t="s">
        <v>234</v>
      </c>
      <c r="AO1" s="270" t="s">
        <v>235</v>
      </c>
      <c r="AP1" s="270" t="s">
        <v>236</v>
      </c>
      <c r="AQ1" s="270" t="s">
        <v>397</v>
      </c>
      <c r="AR1" s="270" t="s">
        <v>137</v>
      </c>
      <c r="AS1" s="270" t="s">
        <v>145</v>
      </c>
      <c r="AT1" s="270" t="s">
        <v>239</v>
      </c>
      <c r="AU1" s="270" t="s">
        <v>240</v>
      </c>
      <c r="AV1" s="270" t="s">
        <v>241</v>
      </c>
      <c r="AW1" s="270" t="s">
        <v>141</v>
      </c>
      <c r="AX1" s="270" t="s">
        <v>245</v>
      </c>
      <c r="AY1" s="270" t="s">
        <v>246</v>
      </c>
      <c r="AZ1" s="270" t="s">
        <v>247</v>
      </c>
      <c r="BA1" s="270" t="s">
        <v>139</v>
      </c>
      <c r="BB1" s="270" t="s">
        <v>138</v>
      </c>
      <c r="BC1" s="270" t="s">
        <v>142</v>
      </c>
      <c r="BD1" s="270" t="s">
        <v>251</v>
      </c>
      <c r="BE1" s="270" t="s">
        <v>252</v>
      </c>
      <c r="BF1" s="270" t="s">
        <v>253</v>
      </c>
      <c r="BG1" s="270" t="s">
        <v>146</v>
      </c>
      <c r="BH1" s="270" t="s">
        <v>257</v>
      </c>
      <c r="BI1" s="270" t="s">
        <v>258</v>
      </c>
      <c r="BJ1" s="270" t="s">
        <v>259</v>
      </c>
      <c r="BK1" s="270" t="s">
        <v>147</v>
      </c>
      <c r="BL1" s="270" t="s">
        <v>153</v>
      </c>
      <c r="BM1" s="270" t="s">
        <v>154</v>
      </c>
    </row>
    <row r="2" spans="1:68" ht="15.75" thickTop="1" x14ac:dyDescent="0.25">
      <c r="A2" s="219"/>
      <c r="B2" s="220" t="s">
        <v>65</v>
      </c>
      <c r="C2" s="220" t="s">
        <v>20</v>
      </c>
      <c r="D2" s="220" t="s">
        <v>21</v>
      </c>
      <c r="E2" s="220" t="s">
        <v>22</v>
      </c>
      <c r="F2" s="220" t="s">
        <v>20</v>
      </c>
      <c r="G2" s="220" t="s">
        <v>20</v>
      </c>
      <c r="H2" s="220" t="s">
        <v>21</v>
      </c>
      <c r="I2" s="220" t="s">
        <v>21</v>
      </c>
      <c r="J2" s="220" t="s">
        <v>22</v>
      </c>
      <c r="K2" s="220" t="s">
        <v>22</v>
      </c>
      <c r="L2" s="221" t="s">
        <v>65</v>
      </c>
      <c r="M2" s="221" t="s">
        <v>20</v>
      </c>
      <c r="N2" s="221" t="s">
        <v>21</v>
      </c>
      <c r="O2" s="221" t="s">
        <v>22</v>
      </c>
      <c r="P2" s="221" t="s">
        <v>66</v>
      </c>
      <c r="Q2" s="221" t="s">
        <v>20</v>
      </c>
      <c r="R2" s="221" t="s">
        <v>21</v>
      </c>
      <c r="S2" s="221" t="s">
        <v>22</v>
      </c>
      <c r="T2" s="221" t="s">
        <v>20</v>
      </c>
      <c r="U2" s="221" t="s">
        <v>21</v>
      </c>
      <c r="V2" s="221" t="s">
        <v>22</v>
      </c>
      <c r="W2" s="221" t="s">
        <v>19</v>
      </c>
      <c r="X2" s="221" t="s">
        <v>19</v>
      </c>
      <c r="Y2" s="222" t="s">
        <v>66</v>
      </c>
      <c r="Z2" s="223" t="s">
        <v>20</v>
      </c>
      <c r="AA2" s="223" t="s">
        <v>21</v>
      </c>
      <c r="AB2" s="223" t="s">
        <v>22</v>
      </c>
      <c r="AC2" s="222" t="s">
        <v>66</v>
      </c>
      <c r="AD2" s="223" t="s">
        <v>20</v>
      </c>
      <c r="AE2" s="223" t="s">
        <v>21</v>
      </c>
      <c r="AF2" s="223" t="s">
        <v>22</v>
      </c>
      <c r="AG2" s="222" t="s">
        <v>19</v>
      </c>
      <c r="AH2" s="222" t="s">
        <v>19</v>
      </c>
      <c r="AI2" s="222" t="s">
        <v>66</v>
      </c>
      <c r="AJ2" s="223" t="s">
        <v>20</v>
      </c>
      <c r="AK2" s="223" t="s">
        <v>21</v>
      </c>
      <c r="AL2" s="223" t="s">
        <v>22</v>
      </c>
      <c r="AM2" s="222" t="s">
        <v>66</v>
      </c>
      <c r="AN2" s="222" t="s">
        <v>20</v>
      </c>
      <c r="AO2" s="222" t="s">
        <v>21</v>
      </c>
      <c r="AP2" s="222" t="s">
        <v>22</v>
      </c>
      <c r="AQ2" s="222" t="s">
        <v>19</v>
      </c>
      <c r="AR2" s="222" t="s">
        <v>19</v>
      </c>
      <c r="AS2" s="222" t="s">
        <v>66</v>
      </c>
      <c r="AT2" s="222" t="s">
        <v>20</v>
      </c>
      <c r="AU2" s="222" t="s">
        <v>21</v>
      </c>
      <c r="AV2" s="222" t="s">
        <v>22</v>
      </c>
      <c r="AW2" s="222" t="s">
        <v>66</v>
      </c>
      <c r="AX2" s="223" t="s">
        <v>20</v>
      </c>
      <c r="AY2" s="223" t="s">
        <v>21</v>
      </c>
      <c r="AZ2" s="223" t="s">
        <v>22</v>
      </c>
      <c r="BA2" s="222" t="s">
        <v>19</v>
      </c>
      <c r="BB2" s="222" t="s">
        <v>19</v>
      </c>
      <c r="BC2" s="222" t="s">
        <v>66</v>
      </c>
      <c r="BD2" s="223" t="s">
        <v>20</v>
      </c>
      <c r="BE2" s="223" t="s">
        <v>21</v>
      </c>
      <c r="BF2" s="223" t="s">
        <v>22</v>
      </c>
      <c r="BG2" s="222" t="s">
        <v>66</v>
      </c>
      <c r="BH2" s="223" t="s">
        <v>20</v>
      </c>
      <c r="BI2" s="223" t="s">
        <v>21</v>
      </c>
      <c r="BJ2" s="223" t="s">
        <v>22</v>
      </c>
      <c r="BK2" s="222" t="s">
        <v>65</v>
      </c>
      <c r="BL2" s="223" t="s">
        <v>153</v>
      </c>
      <c r="BM2" s="224" t="s">
        <v>154</v>
      </c>
    </row>
    <row r="3" spans="1:68" ht="15" customHeight="1" x14ac:dyDescent="0.25">
      <c r="A3" s="194"/>
      <c r="B3" s="195">
        <v>2020</v>
      </c>
      <c r="C3" s="195">
        <v>2020</v>
      </c>
      <c r="D3" s="195">
        <v>2020</v>
      </c>
      <c r="E3" s="195">
        <v>2020</v>
      </c>
      <c r="F3" s="195" t="s">
        <v>55</v>
      </c>
      <c r="G3" s="195">
        <v>2020</v>
      </c>
      <c r="H3" s="195" t="s">
        <v>55</v>
      </c>
      <c r="I3" s="195">
        <v>2020</v>
      </c>
      <c r="J3" s="195" t="s">
        <v>55</v>
      </c>
      <c r="K3" s="195">
        <v>2020</v>
      </c>
      <c r="L3" s="196">
        <v>2020</v>
      </c>
      <c r="M3" s="196">
        <v>2020</v>
      </c>
      <c r="N3" s="196">
        <v>2020</v>
      </c>
      <c r="O3" s="196">
        <v>2020</v>
      </c>
      <c r="P3" s="197">
        <v>2020</v>
      </c>
      <c r="Q3" s="197">
        <v>2020</v>
      </c>
      <c r="R3" s="197">
        <v>2020</v>
      </c>
      <c r="S3" s="197">
        <v>2020</v>
      </c>
      <c r="T3" s="197">
        <v>2020</v>
      </c>
      <c r="U3" s="197">
        <v>2020</v>
      </c>
      <c r="V3" s="197">
        <v>2020</v>
      </c>
      <c r="W3" s="197" t="s">
        <v>136</v>
      </c>
      <c r="X3" s="198">
        <v>2020</v>
      </c>
      <c r="Y3" s="197">
        <v>2020</v>
      </c>
      <c r="Z3" s="197">
        <v>2020</v>
      </c>
      <c r="AA3" s="197">
        <v>2020</v>
      </c>
      <c r="AB3" s="197">
        <v>2020</v>
      </c>
      <c r="AC3" s="197">
        <v>2020</v>
      </c>
      <c r="AD3" s="197">
        <v>2020</v>
      </c>
      <c r="AE3" s="197">
        <v>2020</v>
      </c>
      <c r="AF3" s="197">
        <v>2020</v>
      </c>
      <c r="AG3" s="199" t="s">
        <v>136</v>
      </c>
      <c r="AH3" s="197">
        <v>2020</v>
      </c>
      <c r="AI3" s="197">
        <v>2020</v>
      </c>
      <c r="AJ3" s="197">
        <v>2020</v>
      </c>
      <c r="AK3" s="197">
        <v>2020</v>
      </c>
      <c r="AL3" s="197">
        <v>2020</v>
      </c>
      <c r="AM3" s="197">
        <v>2020</v>
      </c>
      <c r="AN3" s="197">
        <v>2020</v>
      </c>
      <c r="AO3" s="197">
        <v>2020</v>
      </c>
      <c r="AP3" s="197">
        <v>2020</v>
      </c>
      <c r="AQ3" s="199" t="s">
        <v>67</v>
      </c>
      <c r="AR3" s="200">
        <v>2020</v>
      </c>
      <c r="AS3" s="200">
        <v>2020</v>
      </c>
      <c r="AT3" s="200">
        <v>2020</v>
      </c>
      <c r="AU3" s="200">
        <v>2020</v>
      </c>
      <c r="AV3" s="200">
        <v>2020</v>
      </c>
      <c r="AW3" s="197"/>
      <c r="AX3" s="201"/>
      <c r="AY3" s="201"/>
      <c r="AZ3" s="202"/>
      <c r="BA3" s="203">
        <v>2020</v>
      </c>
      <c r="BB3" s="203">
        <v>2020</v>
      </c>
      <c r="BC3" s="203">
        <v>2020</v>
      </c>
      <c r="BD3" s="203">
        <v>2020</v>
      </c>
      <c r="BE3" s="203">
        <v>2020</v>
      </c>
      <c r="BF3" s="203">
        <v>2020</v>
      </c>
      <c r="BG3" s="204">
        <v>2020</v>
      </c>
      <c r="BH3" s="204">
        <v>2020</v>
      </c>
      <c r="BI3" s="204">
        <v>2020</v>
      </c>
      <c r="BJ3" s="204">
        <v>2020</v>
      </c>
      <c r="BK3" s="204">
        <v>2020</v>
      </c>
      <c r="BL3" s="204">
        <v>2020</v>
      </c>
      <c r="BM3" s="205">
        <v>2020</v>
      </c>
    </row>
    <row r="4" spans="1:68" x14ac:dyDescent="0.25">
      <c r="A4" s="131" t="s">
        <v>1</v>
      </c>
      <c r="B4" s="64">
        <f>SUM(C4:E4)</f>
        <v>2359822.1444959929</v>
      </c>
      <c r="C4" s="64">
        <f>'5.1.3 Przeds. niefinansowe'!V5</f>
        <v>2293821.1664821715</v>
      </c>
      <c r="D4" s="64">
        <f>'5.1.3 Przeds. niefinansowe'!W5</f>
        <v>51134.171363295987</v>
      </c>
      <c r="E4" s="64">
        <f>'5.1.3 Przeds. niefinansowe'!X5</f>
        <v>14866.806650525248</v>
      </c>
      <c r="F4" s="206">
        <f>'5.1.3 Plany inwestycyjne'!AB4</f>
        <v>0.70645000000000002</v>
      </c>
      <c r="G4" s="206">
        <f>Tabela15[[#This Row],[Średni odsetek mikro planujących inwestycje]]-3%</f>
        <v>0.67645</v>
      </c>
      <c r="H4" s="206">
        <f>'5.1.3 Plany inwestycyjne'!AC4</f>
        <v>0.82385000000000008</v>
      </c>
      <c r="I4" s="206">
        <f>Tabela15[[#This Row],[Średni odsetek małych planujących inwestycje]]-3%</f>
        <v>0.79385000000000006</v>
      </c>
      <c r="J4" s="206">
        <f>'5.1.3 Plany inwestycyjne'!AD4</f>
        <v>0.92180000000000006</v>
      </c>
      <c r="K4" s="206">
        <f>Tabela15[[#This Row],[Średni odsetek średnich firm planujących inwestycje]]-3%</f>
        <v>0.89180000000000004</v>
      </c>
      <c r="L4" s="69">
        <f>SUM(M4:O4)</f>
        <v>1605506.4081745557</v>
      </c>
      <c r="M4" s="69">
        <f>C4*G$4</f>
        <v>1551655.328066865</v>
      </c>
      <c r="N4" s="69">
        <f>D4*I$4</f>
        <v>40592.861936752524</v>
      </c>
      <c r="O4" s="69">
        <f>E4*K$4</f>
        <v>13258.218170938417</v>
      </c>
      <c r="P4" s="69">
        <f>SUM(Q4:S4)</f>
        <v>187662576.0473249</v>
      </c>
      <c r="Q4" s="69">
        <f>'5.1.1 Nakłady_razem'!BL2</f>
        <v>71211834.968161047</v>
      </c>
      <c r="R4" s="69">
        <f>'5.1.1 Nakłady_razem'!BM2</f>
        <v>36665366.319024347</v>
      </c>
      <c r="S4" s="69">
        <f>'5.1.1 Nakłady_razem'!BN2</f>
        <v>79785374.760139495</v>
      </c>
      <c r="T4" s="207">
        <f t="shared" ref="T4:T20" si="0">Q4*1000/M4/1000</f>
        <v>45.89410655836857</v>
      </c>
      <c r="U4" s="207">
        <f t="shared" ref="U4:U20" si="1">R4*1000/N4/1000</f>
        <v>903.2466441058632</v>
      </c>
      <c r="V4" s="207">
        <f t="shared" ref="V4:V20" si="2">S4*1000/O4/1000</f>
        <v>6017.8052383408831</v>
      </c>
      <c r="W4" s="206">
        <v>0.18</v>
      </c>
      <c r="X4" s="206">
        <v>0.17</v>
      </c>
      <c r="Y4" s="208">
        <f>SUM(Z4:AB4)</f>
        <v>272936.08938967448</v>
      </c>
      <c r="Z4" s="209">
        <f t="shared" ref="Z4:AF4" si="3">SUM(Z5:Z20)</f>
        <v>263781.40577136702</v>
      </c>
      <c r="AA4" s="208">
        <f t="shared" si="3"/>
        <v>6900.7865292479291</v>
      </c>
      <c r="AB4" s="208">
        <f t="shared" si="3"/>
        <v>2253.897089059531</v>
      </c>
      <c r="AC4" s="208">
        <f t="shared" si="3"/>
        <v>31902.637928045235</v>
      </c>
      <c r="AD4" s="209">
        <f t="shared" si="3"/>
        <v>12106.011944587379</v>
      </c>
      <c r="AE4" s="208">
        <f t="shared" si="3"/>
        <v>6233.1122742341404</v>
      </c>
      <c r="AF4" s="208">
        <f t="shared" si="3"/>
        <v>13563.513709223713</v>
      </c>
      <c r="AG4" s="206">
        <v>0.15</v>
      </c>
      <c r="AH4" s="206">
        <v>0.2</v>
      </c>
      <c r="AI4" s="208">
        <f>SUM(AJ4:AL4)</f>
        <v>54587.21787793492</v>
      </c>
      <c r="AJ4" s="208">
        <f>SUM(AJ5:AJ20)</f>
        <v>52756.281154273427</v>
      </c>
      <c r="AK4" s="208">
        <f>SUM(AK5:AK20)</f>
        <v>1380.1573058495862</v>
      </c>
      <c r="AL4" s="208">
        <f>SUM(AL5:AL20)</f>
        <v>450.77941781190623</v>
      </c>
      <c r="AM4" s="208">
        <f>SUM(AN4:AP4)</f>
        <v>6380.5275856090484</v>
      </c>
      <c r="AN4" s="208">
        <f>SUM(AN5:AN20)</f>
        <v>2421.202388917477</v>
      </c>
      <c r="AO4" s="208">
        <f>SUM(AO5:AO20)</f>
        <v>1246.6224548468281</v>
      </c>
      <c r="AP4" s="208">
        <f>SUM(AP5:AP20)</f>
        <v>2712.7027418447433</v>
      </c>
      <c r="AQ4" s="206">
        <v>0.43</v>
      </c>
      <c r="AR4" s="206">
        <v>0.43</v>
      </c>
      <c r="AS4" s="208">
        <f>SUM(AT4:AV4)</f>
        <v>23472.503687512013</v>
      </c>
      <c r="AT4" s="209">
        <f>SUM(AT5:AT20)</f>
        <v>22685.20089633757</v>
      </c>
      <c r="AU4" s="208">
        <f>SUM(AU5:AU20)</f>
        <v>593.46764151532193</v>
      </c>
      <c r="AV4" s="208">
        <f>SUM(AV5:AV20)</f>
        <v>193.83514965911968</v>
      </c>
      <c r="AW4" s="208">
        <f>SUM(AX4:AZ4)</f>
        <v>2743.6268618118902</v>
      </c>
      <c r="AX4" s="209">
        <f t="shared" ref="AX4:AZ4" si="4">SUM(AX5:AX20)</f>
        <v>1041.1170272345148</v>
      </c>
      <c r="AY4" s="208">
        <f t="shared" si="4"/>
        <v>536.04765558413601</v>
      </c>
      <c r="AZ4" s="208">
        <f t="shared" si="4"/>
        <v>1166.4621789932396</v>
      </c>
      <c r="BA4" s="206">
        <v>0.8</v>
      </c>
      <c r="BB4" s="210">
        <v>1.5</v>
      </c>
      <c r="BC4" s="208">
        <f>SUM(BD4:BF4)</f>
        <v>1463.2676596330084</v>
      </c>
      <c r="BD4" s="209">
        <f>SUM(BD5:BD20)</f>
        <v>555.26241452507463</v>
      </c>
      <c r="BE4" s="208">
        <f>SUM(BE5:BE20)</f>
        <v>285.89208297820596</v>
      </c>
      <c r="BF4" s="208">
        <f>SUM(BF5:BF20)</f>
        <v>622.11316212972793</v>
      </c>
      <c r="BG4" s="208">
        <f>SUM(BH4:BJ4)</f>
        <v>4917.25992597604</v>
      </c>
      <c r="BH4" s="209">
        <f>SUM(BH5:BH20)</f>
        <v>1865.9399743924021</v>
      </c>
      <c r="BI4" s="208">
        <f>SUM(BI5:BI20)</f>
        <v>960.73037186862234</v>
      </c>
      <c r="BJ4" s="208">
        <f>SUM(BJ5:BJ20)</f>
        <v>2090.5895797150156</v>
      </c>
      <c r="BK4" s="208">
        <f t="shared" ref="BK4:BK20" si="5">SUM(BL4:BM4)</f>
        <v>6380.5275856090484</v>
      </c>
      <c r="BL4" s="209">
        <f>BG4</f>
        <v>4917.25992597604</v>
      </c>
      <c r="BM4" s="211">
        <f t="shared" ref="BM4:BM20" si="6">BC4</f>
        <v>1463.2676596330084</v>
      </c>
      <c r="BN4" s="21"/>
      <c r="BO4" s="11"/>
      <c r="BP4" s="10"/>
    </row>
    <row r="5" spans="1:68" x14ac:dyDescent="0.25">
      <c r="A5" s="131" t="s">
        <v>2</v>
      </c>
      <c r="B5" s="64">
        <f t="shared" ref="B5:B20" si="7">SUM(C5:E5)</f>
        <v>191611.2839820529</v>
      </c>
      <c r="C5" s="64">
        <f>'5.1.3 Przeds. niefinansowe'!V6</f>
        <v>186760.1267493543</v>
      </c>
      <c r="D5" s="64">
        <f>'5.1.3 Przeds. niefinansowe'!W6</f>
        <v>3757.4438525190267</v>
      </c>
      <c r="E5" s="64">
        <f>'5.1.3 Przeds. niefinansowe'!X6</f>
        <v>1093.7133801795619</v>
      </c>
      <c r="F5" s="206">
        <f t="shared" ref="F5:K5" si="8">F4</f>
        <v>0.70645000000000002</v>
      </c>
      <c r="G5" s="206">
        <f t="shared" si="8"/>
        <v>0.67645</v>
      </c>
      <c r="H5" s="206">
        <f t="shared" si="8"/>
        <v>0.82385000000000008</v>
      </c>
      <c r="I5" s="212">
        <f t="shared" si="8"/>
        <v>0.79385000000000006</v>
      </c>
      <c r="J5" s="212">
        <f t="shared" si="8"/>
        <v>0.92180000000000006</v>
      </c>
      <c r="K5" s="212">
        <f t="shared" si="8"/>
        <v>0.89180000000000004</v>
      </c>
      <c r="L5" s="69">
        <f t="shared" ref="L5:L20" si="9">SUM(M5:O5)</f>
        <v>130292.10813436707</v>
      </c>
      <c r="M5" s="69">
        <f t="shared" ref="M5:M20" si="10">C5*G$4</f>
        <v>126333.88773960072</v>
      </c>
      <c r="N5" s="69">
        <f t="shared" ref="N5:N20" si="11">D5*I$4</f>
        <v>2982.8468023222295</v>
      </c>
      <c r="O5" s="69">
        <f t="shared" ref="O5:O20" si="12">E5*K$4</f>
        <v>975.37359244413335</v>
      </c>
      <c r="P5" s="69">
        <f t="shared" ref="P5:P20" si="13">SUM(Q5:S5)</f>
        <v>14732825.293346506</v>
      </c>
      <c r="Q5" s="69">
        <f>'5.1.1 Nakłady_razem'!BL3</f>
        <v>4685706.0769955628</v>
      </c>
      <c r="R5" s="69">
        <f>'5.1.1 Nakłady_razem'!BM3</f>
        <v>2908581.6964576319</v>
      </c>
      <c r="S5" s="69">
        <f>'5.1.1 Nakłady_razem'!BN3</f>
        <v>7138537.5198933119</v>
      </c>
      <c r="T5" s="207">
        <f t="shared" si="0"/>
        <v>37.089858951018236</v>
      </c>
      <c r="U5" s="207">
        <f t="shared" si="1"/>
        <v>975.10260808339876</v>
      </c>
      <c r="V5" s="207">
        <f t="shared" si="2"/>
        <v>7318.7725966675553</v>
      </c>
      <c r="W5" s="206">
        <v>0.18</v>
      </c>
      <c r="X5" s="206">
        <v>0.17</v>
      </c>
      <c r="Y5" s="70">
        <f t="shared" ref="Y5:Y20" si="14">SUM(Z5:AB5)</f>
        <v>22149.658382842405</v>
      </c>
      <c r="Z5" s="69">
        <f t="shared" ref="Z5:Z20" si="15">M5*X$4</f>
        <v>21476.760915732124</v>
      </c>
      <c r="AA5" s="70">
        <f t="shared" ref="AA5:AA20" si="16">N5*X$4</f>
        <v>507.08395639477902</v>
      </c>
      <c r="AB5" s="70">
        <f t="shared" ref="AB5:AB20" si="17">O5*X$4</f>
        <v>165.81351071550267</v>
      </c>
      <c r="AC5" s="208">
        <f t="shared" ref="AC5:AC20" si="18">SUM(AD5:AF5)</f>
        <v>2504.5802998689064</v>
      </c>
      <c r="AD5" s="209">
        <f>T5*Z5/1000</f>
        <v>796.57003308924584</v>
      </c>
      <c r="AE5" s="208">
        <f>U5*AA5/1000</f>
        <v>494.45888839779747</v>
      </c>
      <c r="AF5" s="208">
        <f>V5*AB5/1000</f>
        <v>1213.5513783818631</v>
      </c>
      <c r="AG5" s="206">
        <v>0.15</v>
      </c>
      <c r="AH5" s="206">
        <v>0.2</v>
      </c>
      <c r="AI5" s="208">
        <f t="shared" ref="AI5:AI20" si="19">SUM(AJ5:AL5)</f>
        <v>4429.9316765684816</v>
      </c>
      <c r="AJ5" s="208">
        <f>Z5*AH$4</f>
        <v>4295.352183146425</v>
      </c>
      <c r="AK5" s="208">
        <f>AA5*AH$4</f>
        <v>101.41679127895581</v>
      </c>
      <c r="AL5" s="208">
        <f>AB5*AH$4</f>
        <v>33.162702143100539</v>
      </c>
      <c r="AM5" s="208">
        <f t="shared" ref="AM5:AM20" si="20">SUM(AN5:AP5)</f>
        <v>500.91605997378127</v>
      </c>
      <c r="AN5" s="208">
        <f>AJ5*T5/1000</f>
        <v>159.31400661784915</v>
      </c>
      <c r="AO5" s="208">
        <f>AK5*U5/1000</f>
        <v>98.891777679559496</v>
      </c>
      <c r="AP5" s="208">
        <f>AL5*V5/1000</f>
        <v>242.71027567637265</v>
      </c>
      <c r="AQ5" s="206">
        <v>0.43</v>
      </c>
      <c r="AR5" s="206">
        <v>0.43</v>
      </c>
      <c r="AS5" s="208">
        <f t="shared" ref="AS5:AS20" si="21">SUM(AT5:AV5)</f>
        <v>1904.8706209244469</v>
      </c>
      <c r="AT5" s="209">
        <f>AJ5*AR$4</f>
        <v>1847.0014387529627</v>
      </c>
      <c r="AU5" s="208">
        <f>AK5*AR$4</f>
        <v>43.609220249951001</v>
      </c>
      <c r="AV5" s="208">
        <f>AL5*AR$4</f>
        <v>14.259961921533231</v>
      </c>
      <c r="AW5" s="208">
        <f t="shared" ref="AW5:AW20" si="22">SUM(AX5:AZ5)</f>
        <v>215.39390578872593</v>
      </c>
      <c r="AX5" s="209">
        <f>AT5*T5/1000</f>
        <v>68.505022845675143</v>
      </c>
      <c r="AY5" s="208">
        <f>AU5*U5/1000</f>
        <v>42.523464402210585</v>
      </c>
      <c r="AZ5" s="208">
        <f>AV5*V5/1000</f>
        <v>104.36541854084022</v>
      </c>
      <c r="BA5" s="206">
        <v>0.8</v>
      </c>
      <c r="BB5" s="210">
        <v>1.5</v>
      </c>
      <c r="BC5" s="208">
        <f>SUM(BD5:BF5)</f>
        <v>114.87674975398718</v>
      </c>
      <c r="BD5" s="209">
        <f>(AX5*BA$4)/BB$4</f>
        <v>36.536012184360082</v>
      </c>
      <c r="BE5" s="208">
        <f>(AY5*BA$4)/BB$4</f>
        <v>22.679181014512313</v>
      </c>
      <c r="BF5" s="208">
        <f>(AZ5*BA$4)/BB$4</f>
        <v>55.661556555114792</v>
      </c>
      <c r="BG5" s="208">
        <f>SUM(BH5:BJ5)</f>
        <v>386.03931021979406</v>
      </c>
      <c r="BH5" s="209">
        <f>AN5-BD5</f>
        <v>122.77799443348906</v>
      </c>
      <c r="BI5" s="208">
        <f>AO5-BE5</f>
        <v>76.212596665047187</v>
      </c>
      <c r="BJ5" s="208">
        <f>AP5-BF5</f>
        <v>187.04871912125785</v>
      </c>
      <c r="BK5" s="208">
        <f t="shared" si="5"/>
        <v>500.91605997378122</v>
      </c>
      <c r="BL5" s="209">
        <f t="shared" ref="BL5:BL20" si="23">BG5</f>
        <v>386.03931021979406</v>
      </c>
      <c r="BM5" s="211">
        <f t="shared" si="6"/>
        <v>114.87674975398718</v>
      </c>
      <c r="BN5" s="11"/>
      <c r="BO5" s="11"/>
      <c r="BP5" s="10"/>
    </row>
    <row r="6" spans="1:68" x14ac:dyDescent="0.25">
      <c r="A6" s="131" t="s">
        <v>3</v>
      </c>
      <c r="B6" s="64">
        <f t="shared" si="7"/>
        <v>106495.11952598924</v>
      </c>
      <c r="C6" s="64">
        <f>'5.1.3 Przeds. niefinansowe'!V7</f>
        <v>103167.04431557113</v>
      </c>
      <c r="D6" s="64">
        <f>'5.1.3 Przeds. niefinansowe'!W7</f>
        <v>2583.8467180515549</v>
      </c>
      <c r="E6" s="64">
        <f>'5.1.3 Przeds. niefinansowe'!X7</f>
        <v>744.22849236655816</v>
      </c>
      <c r="F6" s="206">
        <f t="shared" ref="F6:F20" si="24">F5</f>
        <v>0.70645000000000002</v>
      </c>
      <c r="G6" s="206">
        <f t="shared" ref="G6:G20" si="25">G5</f>
        <v>0.67645</v>
      </c>
      <c r="H6" s="206">
        <f t="shared" ref="H6:H20" si="26">H5</f>
        <v>0.82385000000000008</v>
      </c>
      <c r="I6" s="212">
        <f t="shared" ref="I6:I20" si="27">I5</f>
        <v>0.79385000000000006</v>
      </c>
      <c r="J6" s="212">
        <f t="shared" ref="J6:J20" si="28">J5</f>
        <v>0.92180000000000006</v>
      </c>
      <c r="K6" s="212">
        <f t="shared" ref="K6:K20" si="29">K5</f>
        <v>0.89180000000000004</v>
      </c>
      <c r="L6" s="69">
        <f t="shared" si="9"/>
        <v>72502.236813885815</v>
      </c>
      <c r="M6" s="69">
        <f t="shared" si="10"/>
        <v>69787.347127268091</v>
      </c>
      <c r="N6" s="69">
        <f t="shared" si="11"/>
        <v>2051.186717125227</v>
      </c>
      <c r="O6" s="69">
        <f t="shared" si="12"/>
        <v>663.70296949249655</v>
      </c>
      <c r="P6" s="69">
        <f t="shared" si="13"/>
        <v>7640702.2847584002</v>
      </c>
      <c r="Q6" s="69">
        <f>'5.1.1 Nakłady_razem'!BL4</f>
        <v>2309759.5249566934</v>
      </c>
      <c r="R6" s="69">
        <f>'5.1.1 Nakłady_razem'!BM4</f>
        <v>2075119.59884112</v>
      </c>
      <c r="S6" s="69">
        <f>'5.1.1 Nakłady_razem'!BN4</f>
        <v>3255823.1609605867</v>
      </c>
      <c r="T6" s="207">
        <f t="shared" si="0"/>
        <v>33.0971102934245</v>
      </c>
      <c r="U6" s="207">
        <f t="shared" si="1"/>
        <v>1011.6678221032141</v>
      </c>
      <c r="V6" s="207">
        <f t="shared" si="2"/>
        <v>4905.5425553544928</v>
      </c>
      <c r="W6" s="206">
        <v>0.18</v>
      </c>
      <c r="X6" s="206">
        <v>0.17</v>
      </c>
      <c r="Y6" s="70">
        <f t="shared" si="14"/>
        <v>12325.38025836059</v>
      </c>
      <c r="Z6" s="69">
        <f t="shared" si="15"/>
        <v>11863.849011635577</v>
      </c>
      <c r="AA6" s="70">
        <f t="shared" si="16"/>
        <v>348.70174191128859</v>
      </c>
      <c r="AB6" s="70">
        <f t="shared" si="17"/>
        <v>112.82950481372443</v>
      </c>
      <c r="AC6" s="208">
        <f t="shared" si="18"/>
        <v>1298.9193884089282</v>
      </c>
      <c r="AD6" s="209">
        <f t="shared" ref="AD6:AD20" si="30">T6*Z6/1000</f>
        <v>392.65911924263793</v>
      </c>
      <c r="AE6" s="208">
        <f t="shared" ref="AE6:AE20" si="31">U6*AA6/1000</f>
        <v>352.77033180299043</v>
      </c>
      <c r="AF6" s="208">
        <f t="shared" ref="AF6:AF20" si="32">V6*AB6/1000</f>
        <v>553.48993736329976</v>
      </c>
      <c r="AG6" s="206">
        <v>0.15</v>
      </c>
      <c r="AH6" s="206">
        <v>0.2</v>
      </c>
      <c r="AI6" s="208">
        <f t="shared" si="19"/>
        <v>2465.076051672118</v>
      </c>
      <c r="AJ6" s="208">
        <f t="shared" ref="AJ6:AJ20" si="33">Z6*AH$4</f>
        <v>2372.7698023271155</v>
      </c>
      <c r="AK6" s="208">
        <f t="shared" ref="AK6:AK20" si="34">AA6*AH$4</f>
        <v>69.740348382257721</v>
      </c>
      <c r="AL6" s="208">
        <f t="shared" ref="AL6:AL20" si="35">AB6*AH$4</f>
        <v>22.565900962744887</v>
      </c>
      <c r="AM6" s="208">
        <f t="shared" si="20"/>
        <v>259.78387768178567</v>
      </c>
      <c r="AN6" s="208">
        <f t="shared" ref="AN6:AN20" si="36">AJ6*T6/1000</f>
        <v>78.531823848527594</v>
      </c>
      <c r="AO6" s="208">
        <f t="shared" ref="AO6:AO20" si="37">AK6*U6/1000</f>
        <v>70.554066360598085</v>
      </c>
      <c r="AP6" s="208">
        <f t="shared" ref="AP6:AP20" si="38">AL6*V6/1000</f>
        <v>110.69798747265996</v>
      </c>
      <c r="AQ6" s="206">
        <v>0.43</v>
      </c>
      <c r="AR6" s="206">
        <v>0.43</v>
      </c>
      <c r="AS6" s="208">
        <f t="shared" si="21"/>
        <v>1059.9827022190107</v>
      </c>
      <c r="AT6" s="209">
        <f t="shared" ref="AT6:AT20" si="39">AJ6*AR$4</f>
        <v>1020.2910150006596</v>
      </c>
      <c r="AU6" s="208">
        <f t="shared" ref="AU6:AU20" si="40">AK6*AR$4</f>
        <v>29.98834980437082</v>
      </c>
      <c r="AV6" s="208">
        <f t="shared" ref="AV6:AV20" si="41">AL6*AR$4</f>
        <v>9.7033374139803019</v>
      </c>
      <c r="AW6" s="208">
        <f t="shared" si="22"/>
        <v>111.70706740316781</v>
      </c>
      <c r="AX6" s="209">
        <f t="shared" ref="AX6:AX20" si="42">AT6*T6/1000</f>
        <v>33.768684254866862</v>
      </c>
      <c r="AY6" s="208">
        <f t="shared" ref="AY6:AY20" si="43">AU6*U6/1000</f>
        <v>30.338248535057172</v>
      </c>
      <c r="AZ6" s="208">
        <f t="shared" ref="AZ6:AZ20" si="44">AV6*V6/1000</f>
        <v>47.600134613243782</v>
      </c>
      <c r="BA6" s="206">
        <v>0.8</v>
      </c>
      <c r="BB6" s="210">
        <v>1.5</v>
      </c>
      <c r="BC6" s="208">
        <f t="shared" ref="BC6:BC20" si="45">SUM(BD6:BF6)</f>
        <v>59.577102615022838</v>
      </c>
      <c r="BD6" s="209">
        <f t="shared" ref="BD6:BD20" si="46">(AX6*BA$4)/BB$4</f>
        <v>18.009964935928995</v>
      </c>
      <c r="BE6" s="208">
        <f t="shared" ref="BE6:BE20" si="47">(AY6*BA$4)/BB$4</f>
        <v>16.180399218697158</v>
      </c>
      <c r="BF6" s="208">
        <f t="shared" ref="BF6:BF20" si="48">(AZ6*BA$4)/BB$4</f>
        <v>25.386738460396685</v>
      </c>
      <c r="BG6" s="208">
        <f t="shared" ref="BG6:BG20" si="49">SUM(BH6:BJ6)</f>
        <v>200.20677506676282</v>
      </c>
      <c r="BH6" s="209">
        <f t="shared" ref="BH6:BH20" si="50">AN6-BD6</f>
        <v>60.521858912598603</v>
      </c>
      <c r="BI6" s="208">
        <f t="shared" ref="BI6:BI20" si="51">AO6-BE6</f>
        <v>54.373667141900924</v>
      </c>
      <c r="BJ6" s="208">
        <f t="shared" ref="BJ6:BJ20" si="52">AP6-BF6</f>
        <v>85.311249012263275</v>
      </c>
      <c r="BK6" s="208">
        <f t="shared" si="5"/>
        <v>259.78387768178567</v>
      </c>
      <c r="BL6" s="209">
        <f t="shared" si="23"/>
        <v>200.20677506676282</v>
      </c>
      <c r="BM6" s="211">
        <f t="shared" si="6"/>
        <v>59.577102615022838</v>
      </c>
      <c r="BN6" s="11"/>
      <c r="BO6" s="11"/>
      <c r="BP6" s="10"/>
    </row>
    <row r="7" spans="1:68" x14ac:dyDescent="0.25">
      <c r="A7" s="131" t="s">
        <v>4</v>
      </c>
      <c r="B7" s="64">
        <f t="shared" si="7"/>
        <v>98269.599115190867</v>
      </c>
      <c r="C7" s="64">
        <f>'5.1.3 Przeds. niefinansowe'!V8</f>
        <v>95687.426974064714</v>
      </c>
      <c r="D7" s="64">
        <f>'5.1.3 Przeds. niefinansowe'!W8</f>
        <v>2072.5675955071056</v>
      </c>
      <c r="E7" s="64">
        <f>'5.1.3 Przeds. niefinansowe'!X8</f>
        <v>509.60454561904635</v>
      </c>
      <c r="F7" s="206">
        <f t="shared" si="24"/>
        <v>0.70645000000000002</v>
      </c>
      <c r="G7" s="206">
        <f t="shared" si="25"/>
        <v>0.67645</v>
      </c>
      <c r="H7" s="206">
        <f t="shared" si="26"/>
        <v>0.82385000000000008</v>
      </c>
      <c r="I7" s="212">
        <f t="shared" si="27"/>
        <v>0.79385000000000006</v>
      </c>
      <c r="J7" s="212">
        <f t="shared" si="28"/>
        <v>0.92180000000000006</v>
      </c>
      <c r="K7" s="212">
        <f t="shared" si="29"/>
        <v>0.89180000000000004</v>
      </c>
      <c r="L7" s="69">
        <f t="shared" si="9"/>
        <v>66827.53309608245</v>
      </c>
      <c r="M7" s="69">
        <f t="shared" si="10"/>
        <v>64727.759976606074</v>
      </c>
      <c r="N7" s="69">
        <f t="shared" si="11"/>
        <v>1645.307785693316</v>
      </c>
      <c r="O7" s="69">
        <f t="shared" si="12"/>
        <v>454.46533378306555</v>
      </c>
      <c r="P7" s="69">
        <f t="shared" si="13"/>
        <v>5532167.1439763736</v>
      </c>
      <c r="Q7" s="69">
        <f>'5.1.1 Nakłady_razem'!BL5</f>
        <v>2020018.2305899092</v>
      </c>
      <c r="R7" s="69">
        <f>'5.1.1 Nakłady_razem'!BM5</f>
        <v>1350071.4104815254</v>
      </c>
      <c r="S7" s="69">
        <f>'5.1.1 Nakłady_razem'!BN5</f>
        <v>2162077.5029049385</v>
      </c>
      <c r="T7" s="207">
        <f t="shared" si="0"/>
        <v>31.207911896224818</v>
      </c>
      <c r="U7" s="207">
        <f t="shared" si="1"/>
        <v>820.55857403763457</v>
      </c>
      <c r="V7" s="207">
        <f t="shared" si="2"/>
        <v>4757.4090743233337</v>
      </c>
      <c r="W7" s="206">
        <v>0.18</v>
      </c>
      <c r="X7" s="206">
        <v>0.17</v>
      </c>
      <c r="Y7" s="70">
        <f t="shared" si="14"/>
        <v>11360.680626334019</v>
      </c>
      <c r="Z7" s="69">
        <f t="shared" si="15"/>
        <v>11003.719196023034</v>
      </c>
      <c r="AA7" s="70">
        <f t="shared" si="16"/>
        <v>279.70232356786374</v>
      </c>
      <c r="AB7" s="70">
        <f t="shared" si="17"/>
        <v>77.259106743121151</v>
      </c>
      <c r="AC7" s="208">
        <f t="shared" si="18"/>
        <v>940.46841447598365</v>
      </c>
      <c r="AD7" s="209">
        <f t="shared" si="30"/>
        <v>343.40309920028466</v>
      </c>
      <c r="AE7" s="208">
        <f t="shared" si="31"/>
        <v>229.51213978185936</v>
      </c>
      <c r="AF7" s="208">
        <f t="shared" si="32"/>
        <v>367.5531754938396</v>
      </c>
      <c r="AG7" s="206">
        <v>0.15</v>
      </c>
      <c r="AH7" s="206">
        <v>0.2</v>
      </c>
      <c r="AI7" s="208">
        <f t="shared" si="19"/>
        <v>2272.1361252668044</v>
      </c>
      <c r="AJ7" s="208">
        <f t="shared" si="33"/>
        <v>2200.743839204607</v>
      </c>
      <c r="AK7" s="208">
        <f t="shared" si="34"/>
        <v>55.940464713572752</v>
      </c>
      <c r="AL7" s="208">
        <f t="shared" si="35"/>
        <v>15.451821348624231</v>
      </c>
      <c r="AM7" s="208">
        <f t="shared" si="20"/>
        <v>188.09368289519671</v>
      </c>
      <c r="AN7" s="208">
        <f t="shared" si="36"/>
        <v>68.68061984005692</v>
      </c>
      <c r="AO7" s="208">
        <f t="shared" si="37"/>
        <v>45.902427956371874</v>
      </c>
      <c r="AP7" s="208">
        <f t="shared" si="38"/>
        <v>73.510635098767935</v>
      </c>
      <c r="AQ7" s="206">
        <v>0.43</v>
      </c>
      <c r="AR7" s="206">
        <v>0.43</v>
      </c>
      <c r="AS7" s="208">
        <f t="shared" si="21"/>
        <v>977.01853386472567</v>
      </c>
      <c r="AT7" s="209">
        <f t="shared" si="39"/>
        <v>946.31985085798101</v>
      </c>
      <c r="AU7" s="208">
        <f t="shared" si="40"/>
        <v>24.054399826836281</v>
      </c>
      <c r="AV7" s="208">
        <f t="shared" si="41"/>
        <v>6.6442831799084194</v>
      </c>
      <c r="AW7" s="208">
        <f t="shared" si="22"/>
        <v>80.880283644934593</v>
      </c>
      <c r="AX7" s="209">
        <f t="shared" si="42"/>
        <v>29.532666531224482</v>
      </c>
      <c r="AY7" s="208">
        <f t="shared" si="43"/>
        <v>19.738044021239904</v>
      </c>
      <c r="AZ7" s="208">
        <f t="shared" si="44"/>
        <v>31.60957309247021</v>
      </c>
      <c r="BA7" s="206">
        <v>0.8</v>
      </c>
      <c r="BB7" s="210">
        <v>1.5</v>
      </c>
      <c r="BC7" s="208">
        <f t="shared" si="45"/>
        <v>43.136151277298453</v>
      </c>
      <c r="BD7" s="209">
        <f t="shared" si="46"/>
        <v>15.750755483319724</v>
      </c>
      <c r="BE7" s="208">
        <f t="shared" si="47"/>
        <v>10.526956811327949</v>
      </c>
      <c r="BF7" s="208">
        <f t="shared" si="48"/>
        <v>16.858438982650778</v>
      </c>
      <c r="BG7" s="208">
        <f t="shared" si="49"/>
        <v>144.95753161789827</v>
      </c>
      <c r="BH7" s="209">
        <f t="shared" si="50"/>
        <v>52.929864356737198</v>
      </c>
      <c r="BI7" s="208">
        <f t="shared" si="51"/>
        <v>35.375471145043925</v>
      </c>
      <c r="BJ7" s="208">
        <f t="shared" si="52"/>
        <v>56.652196116117153</v>
      </c>
      <c r="BK7" s="208">
        <f t="shared" si="5"/>
        <v>188.09368289519671</v>
      </c>
      <c r="BL7" s="209">
        <f t="shared" si="23"/>
        <v>144.95753161789827</v>
      </c>
      <c r="BM7" s="211">
        <f t="shared" si="6"/>
        <v>43.136151277298453</v>
      </c>
      <c r="BN7" s="11"/>
      <c r="BO7" s="11"/>
      <c r="BP7" s="10"/>
    </row>
    <row r="8" spans="1:68" x14ac:dyDescent="0.25">
      <c r="A8" s="131" t="s">
        <v>5</v>
      </c>
      <c r="B8" s="64">
        <f t="shared" si="7"/>
        <v>56630.097527472535</v>
      </c>
      <c r="C8" s="64">
        <f>'5.1.3 Przeds. niefinansowe'!V9</f>
        <v>54996.55039043435</v>
      </c>
      <c r="D8" s="64">
        <f>'5.1.3 Przeds. niefinansowe'!W9</f>
        <v>1239.9372105925909</v>
      </c>
      <c r="E8" s="64">
        <f>'5.1.3 Przeds. niefinansowe'!X9</f>
        <v>393.6099264455932</v>
      </c>
      <c r="F8" s="206">
        <f t="shared" si="24"/>
        <v>0.70645000000000002</v>
      </c>
      <c r="G8" s="206">
        <f t="shared" si="25"/>
        <v>0.67645</v>
      </c>
      <c r="H8" s="206">
        <f t="shared" si="26"/>
        <v>0.82385000000000008</v>
      </c>
      <c r="I8" s="212">
        <f t="shared" si="27"/>
        <v>0.79385000000000006</v>
      </c>
      <c r="J8" s="212">
        <f t="shared" si="28"/>
        <v>0.92180000000000006</v>
      </c>
      <c r="K8" s="212">
        <f t="shared" si="29"/>
        <v>0.89180000000000004</v>
      </c>
      <c r="L8" s="69">
        <f t="shared" si="9"/>
        <v>38537.761998642425</v>
      </c>
      <c r="M8" s="69">
        <f t="shared" si="10"/>
        <v>37202.416511609314</v>
      </c>
      <c r="N8" s="69">
        <f t="shared" si="11"/>
        <v>984.32415462892834</v>
      </c>
      <c r="O8" s="69">
        <f t="shared" si="12"/>
        <v>351.02133240418004</v>
      </c>
      <c r="P8" s="69">
        <f t="shared" si="13"/>
        <v>3627373.0934715737</v>
      </c>
      <c r="Q8" s="69">
        <f>'5.1.1 Nakłady_razem'!BL6</f>
        <v>954278.67698078952</v>
      </c>
      <c r="R8" s="69">
        <f>'5.1.1 Nakłady_razem'!BM6</f>
        <v>803654.95595715207</v>
      </c>
      <c r="S8" s="69">
        <f>'5.1.1 Nakłady_razem'!BN6</f>
        <v>1869439.460533632</v>
      </c>
      <c r="T8" s="207">
        <f t="shared" si="0"/>
        <v>25.650986319208574</v>
      </c>
      <c r="U8" s="207">
        <f t="shared" si="1"/>
        <v>816.45355564815407</v>
      </c>
      <c r="V8" s="207">
        <f t="shared" si="2"/>
        <v>5325.7146730361237</v>
      </c>
      <c r="W8" s="206">
        <v>0.18</v>
      </c>
      <c r="X8" s="206">
        <v>0.17</v>
      </c>
      <c r="Y8" s="70">
        <f t="shared" si="14"/>
        <v>6551.419539769212</v>
      </c>
      <c r="Z8" s="69">
        <f t="shared" si="15"/>
        <v>6324.4108069735839</v>
      </c>
      <c r="AA8" s="70">
        <f t="shared" si="16"/>
        <v>167.33510628691783</v>
      </c>
      <c r="AB8" s="70">
        <f t="shared" si="17"/>
        <v>59.673626508710612</v>
      </c>
      <c r="AC8" s="208">
        <f t="shared" si="18"/>
        <v>616.65342589016757</v>
      </c>
      <c r="AD8" s="209">
        <f t="shared" si="30"/>
        <v>162.22737508673424</v>
      </c>
      <c r="AE8" s="208">
        <f t="shared" si="31"/>
        <v>136.62134251271584</v>
      </c>
      <c r="AF8" s="208">
        <f t="shared" si="32"/>
        <v>317.80470829071749</v>
      </c>
      <c r="AG8" s="206">
        <v>0.15</v>
      </c>
      <c r="AH8" s="206">
        <v>0.2</v>
      </c>
      <c r="AI8" s="208">
        <f t="shared" si="19"/>
        <v>1310.2839079538426</v>
      </c>
      <c r="AJ8" s="208">
        <f t="shared" si="33"/>
        <v>1264.8821613947168</v>
      </c>
      <c r="AK8" s="208">
        <f t="shared" si="34"/>
        <v>33.467021257383571</v>
      </c>
      <c r="AL8" s="208">
        <f t="shared" si="35"/>
        <v>11.934725301742123</v>
      </c>
      <c r="AM8" s="208">
        <f t="shared" si="20"/>
        <v>123.33068517803352</v>
      </c>
      <c r="AN8" s="208">
        <f t="shared" si="36"/>
        <v>32.445475017346851</v>
      </c>
      <c r="AO8" s="208">
        <f t="shared" si="37"/>
        <v>27.32426850254317</v>
      </c>
      <c r="AP8" s="208">
        <f t="shared" si="38"/>
        <v>63.560941658143506</v>
      </c>
      <c r="AQ8" s="206">
        <v>0.43</v>
      </c>
      <c r="AR8" s="206">
        <v>0.43</v>
      </c>
      <c r="AS8" s="208">
        <f t="shared" si="21"/>
        <v>563.42208042015227</v>
      </c>
      <c r="AT8" s="209">
        <f t="shared" si="39"/>
        <v>543.89932939972823</v>
      </c>
      <c r="AU8" s="208">
        <f t="shared" si="40"/>
        <v>14.390819140674935</v>
      </c>
      <c r="AV8" s="208">
        <f t="shared" si="41"/>
        <v>5.1319318797491125</v>
      </c>
      <c r="AW8" s="208">
        <f t="shared" si="22"/>
        <v>53.032194626554414</v>
      </c>
      <c r="AX8" s="209">
        <f t="shared" si="42"/>
        <v>13.951554257459147</v>
      </c>
      <c r="AY8" s="208">
        <f t="shared" si="43"/>
        <v>11.749435456093565</v>
      </c>
      <c r="AZ8" s="208">
        <f t="shared" si="44"/>
        <v>27.331204913001702</v>
      </c>
      <c r="BA8" s="206">
        <v>0.8</v>
      </c>
      <c r="BB8" s="210">
        <v>1.5</v>
      </c>
      <c r="BC8" s="208">
        <f t="shared" si="45"/>
        <v>28.283837134162354</v>
      </c>
      <c r="BD8" s="209">
        <f t="shared" si="46"/>
        <v>7.4408289373115464</v>
      </c>
      <c r="BE8" s="208">
        <f t="shared" si="47"/>
        <v>6.266365576583234</v>
      </c>
      <c r="BF8" s="208">
        <f t="shared" si="48"/>
        <v>14.576642620267576</v>
      </c>
      <c r="BG8" s="208">
        <f t="shared" si="49"/>
        <v>95.046848043871165</v>
      </c>
      <c r="BH8" s="209">
        <f t="shared" si="50"/>
        <v>25.004646080035304</v>
      </c>
      <c r="BI8" s="208">
        <f t="shared" si="51"/>
        <v>21.057902925959937</v>
      </c>
      <c r="BJ8" s="208">
        <f t="shared" si="52"/>
        <v>48.984299037875928</v>
      </c>
      <c r="BK8" s="208">
        <f t="shared" si="5"/>
        <v>123.33068517803352</v>
      </c>
      <c r="BL8" s="209">
        <f t="shared" si="23"/>
        <v>95.046848043871165</v>
      </c>
      <c r="BM8" s="211">
        <f t="shared" si="6"/>
        <v>28.283837134162354</v>
      </c>
      <c r="BN8" s="11"/>
      <c r="BO8" s="11"/>
      <c r="BP8" s="10"/>
    </row>
    <row r="9" spans="1:68" x14ac:dyDescent="0.25">
      <c r="A9" s="131" t="s">
        <v>6</v>
      </c>
      <c r="B9" s="64">
        <f t="shared" si="7"/>
        <v>139055.26767954646</v>
      </c>
      <c r="C9" s="64">
        <f>'5.1.3 Przeds. niefinansowe'!V10</f>
        <v>135043.33143364365</v>
      </c>
      <c r="D9" s="64">
        <f>'5.1.3 Przeds. niefinansowe'!W10</f>
        <v>3120.9749515193162</v>
      </c>
      <c r="E9" s="64">
        <f>'5.1.3 Przeds. niefinansowe'!X10</f>
        <v>890.96129438349681</v>
      </c>
      <c r="F9" s="206">
        <f t="shared" si="24"/>
        <v>0.70645000000000002</v>
      </c>
      <c r="G9" s="206">
        <f t="shared" si="25"/>
        <v>0.67645</v>
      </c>
      <c r="H9" s="206">
        <f t="shared" si="26"/>
        <v>0.82385000000000008</v>
      </c>
      <c r="I9" s="212">
        <f t="shared" si="27"/>
        <v>0.79385000000000006</v>
      </c>
      <c r="J9" s="212">
        <f t="shared" si="28"/>
        <v>0.92180000000000006</v>
      </c>
      <c r="K9" s="212">
        <f t="shared" si="29"/>
        <v>0.89180000000000004</v>
      </c>
      <c r="L9" s="69">
        <f t="shared" si="9"/>
        <v>94622.206795883059</v>
      </c>
      <c r="M9" s="69">
        <f t="shared" si="10"/>
        <v>91350.061548288242</v>
      </c>
      <c r="N9" s="69">
        <f t="shared" si="11"/>
        <v>2477.5859652636095</v>
      </c>
      <c r="O9" s="69">
        <f t="shared" si="12"/>
        <v>794.55928233120244</v>
      </c>
      <c r="P9" s="69">
        <f t="shared" si="13"/>
        <v>8545946.9114163741</v>
      </c>
      <c r="Q9" s="69">
        <f>'5.1.1 Nakłady_razem'!BL7</f>
        <v>2683967.9076437764</v>
      </c>
      <c r="R9" s="69">
        <f>'5.1.1 Nakłady_razem'!BM7</f>
        <v>1928658.4233919254</v>
      </c>
      <c r="S9" s="69">
        <f>'5.1.1 Nakłady_razem'!BN7</f>
        <v>3933320.5803806721</v>
      </c>
      <c r="T9" s="207">
        <f t="shared" si="0"/>
        <v>29.381128618342675</v>
      </c>
      <c r="U9" s="207">
        <f t="shared" si="1"/>
        <v>778.44258501307763</v>
      </c>
      <c r="V9" s="207">
        <f t="shared" si="2"/>
        <v>4950.3173241403465</v>
      </c>
      <c r="W9" s="206">
        <v>0.18</v>
      </c>
      <c r="X9" s="206">
        <v>0.17</v>
      </c>
      <c r="Y9" s="70">
        <f t="shared" si="14"/>
        <v>16085.77515530012</v>
      </c>
      <c r="Z9" s="69">
        <f t="shared" si="15"/>
        <v>15529.510463209002</v>
      </c>
      <c r="AA9" s="70">
        <f t="shared" si="16"/>
        <v>421.18961409481363</v>
      </c>
      <c r="AB9" s="70">
        <f t="shared" si="17"/>
        <v>135.07507799630443</v>
      </c>
      <c r="AC9" s="208">
        <f t="shared" si="18"/>
        <v>1452.8109749407836</v>
      </c>
      <c r="AD9" s="209">
        <f t="shared" si="30"/>
        <v>456.27454429944203</v>
      </c>
      <c r="AE9" s="208">
        <f t="shared" si="31"/>
        <v>327.87193197662731</v>
      </c>
      <c r="AF9" s="208">
        <f t="shared" si="32"/>
        <v>668.66449866471442</v>
      </c>
      <c r="AG9" s="206">
        <v>0.15</v>
      </c>
      <c r="AH9" s="206">
        <v>0.2</v>
      </c>
      <c r="AI9" s="208">
        <f t="shared" si="19"/>
        <v>3217.1550310600246</v>
      </c>
      <c r="AJ9" s="208">
        <f t="shared" si="33"/>
        <v>3105.9020926418007</v>
      </c>
      <c r="AK9" s="208">
        <f t="shared" si="34"/>
        <v>84.23792281896273</v>
      </c>
      <c r="AL9" s="208">
        <f t="shared" si="35"/>
        <v>27.015015599260888</v>
      </c>
      <c r="AM9" s="208">
        <f t="shared" si="20"/>
        <v>290.56219498815676</v>
      </c>
      <c r="AN9" s="208">
        <f t="shared" si="36"/>
        <v>91.254908859888417</v>
      </c>
      <c r="AO9" s="208">
        <f t="shared" si="37"/>
        <v>65.574386395325462</v>
      </c>
      <c r="AP9" s="208">
        <f t="shared" si="38"/>
        <v>133.73289973294285</v>
      </c>
      <c r="AQ9" s="206">
        <v>0.43</v>
      </c>
      <c r="AR9" s="206">
        <v>0.43</v>
      </c>
      <c r="AS9" s="208">
        <f t="shared" si="21"/>
        <v>1383.3766633558103</v>
      </c>
      <c r="AT9" s="209">
        <f t="shared" si="39"/>
        <v>1335.5378998359743</v>
      </c>
      <c r="AU9" s="208">
        <f t="shared" si="40"/>
        <v>36.222306812153974</v>
      </c>
      <c r="AV9" s="208">
        <f t="shared" si="41"/>
        <v>11.616456707682183</v>
      </c>
      <c r="AW9" s="208">
        <f t="shared" si="22"/>
        <v>124.94174384490742</v>
      </c>
      <c r="AX9" s="209">
        <f t="shared" si="42"/>
        <v>39.239610809752023</v>
      </c>
      <c r="AY9" s="208">
        <f t="shared" si="43"/>
        <v>28.196986149989954</v>
      </c>
      <c r="AZ9" s="208">
        <f t="shared" si="44"/>
        <v>57.505146885165445</v>
      </c>
      <c r="BA9" s="206">
        <v>0.8</v>
      </c>
      <c r="BB9" s="210">
        <v>1.5</v>
      </c>
      <c r="BC9" s="208">
        <f t="shared" si="45"/>
        <v>66.63559671728396</v>
      </c>
      <c r="BD9" s="209">
        <f t="shared" si="46"/>
        <v>20.927792431867747</v>
      </c>
      <c r="BE9" s="208">
        <f t="shared" si="47"/>
        <v>15.038392613327977</v>
      </c>
      <c r="BF9" s="208">
        <f t="shared" si="48"/>
        <v>30.669411672088241</v>
      </c>
      <c r="BG9" s="208">
        <f t="shared" si="49"/>
        <v>223.92659827087277</v>
      </c>
      <c r="BH9" s="209">
        <f t="shared" si="50"/>
        <v>70.327116428020673</v>
      </c>
      <c r="BI9" s="208">
        <f t="shared" si="51"/>
        <v>50.535993781997483</v>
      </c>
      <c r="BJ9" s="208">
        <f t="shared" si="52"/>
        <v>103.06348806085461</v>
      </c>
      <c r="BK9" s="208">
        <f t="shared" si="5"/>
        <v>290.56219498815676</v>
      </c>
      <c r="BL9" s="209">
        <f t="shared" si="23"/>
        <v>223.92659827087277</v>
      </c>
      <c r="BM9" s="211">
        <f t="shared" si="6"/>
        <v>66.63559671728396</v>
      </c>
      <c r="BN9" s="11"/>
      <c r="BO9" s="11"/>
      <c r="BP9" s="10"/>
    </row>
    <row r="10" spans="1:68" x14ac:dyDescent="0.25">
      <c r="A10" s="131" t="s">
        <v>7</v>
      </c>
      <c r="B10" s="64">
        <f t="shared" si="7"/>
        <v>227352.25248369275</v>
      </c>
      <c r="C10" s="64">
        <f>'5.1.3 Przeds. niefinansowe'!V11</f>
        <v>221028.22200343222</v>
      </c>
      <c r="D10" s="64">
        <f>'5.1.3 Przeds. niefinansowe'!W11</f>
        <v>5023.3826088997776</v>
      </c>
      <c r="E10" s="64">
        <f>'5.1.3 Przeds. niefinansowe'!X11</f>
        <v>1300.6478713607253</v>
      </c>
      <c r="F10" s="206">
        <f t="shared" si="24"/>
        <v>0.70645000000000002</v>
      </c>
      <c r="G10" s="206">
        <f t="shared" si="25"/>
        <v>0.67645</v>
      </c>
      <c r="H10" s="206">
        <f t="shared" si="26"/>
        <v>0.82385000000000008</v>
      </c>
      <c r="I10" s="212">
        <f t="shared" si="27"/>
        <v>0.79385000000000006</v>
      </c>
      <c r="J10" s="212">
        <f t="shared" si="28"/>
        <v>0.92180000000000006</v>
      </c>
      <c r="K10" s="212">
        <f t="shared" si="29"/>
        <v>0.89180000000000004</v>
      </c>
      <c r="L10" s="69">
        <f t="shared" si="9"/>
        <v>154662.27082997633</v>
      </c>
      <c r="M10" s="69">
        <f t="shared" si="10"/>
        <v>149514.54077422174</v>
      </c>
      <c r="N10" s="69">
        <f t="shared" si="11"/>
        <v>3987.8122840750889</v>
      </c>
      <c r="O10" s="69">
        <f t="shared" si="12"/>
        <v>1159.9177716794948</v>
      </c>
      <c r="P10" s="69">
        <f t="shared" si="13"/>
        <v>14107487.569757227</v>
      </c>
      <c r="Q10" s="69">
        <f>'5.1.1 Nakłady_razem'!BL8</f>
        <v>5625829.0421579313</v>
      </c>
      <c r="R10" s="69">
        <f>'5.1.1 Nakłady_razem'!BM8</f>
        <v>2720064.0057037547</v>
      </c>
      <c r="S10" s="69">
        <f>'5.1.1 Nakłady_razem'!BN8</f>
        <v>5761594.5218955409</v>
      </c>
      <c r="T10" s="207">
        <f t="shared" si="0"/>
        <v>37.627303759393939</v>
      </c>
      <c r="U10" s="207">
        <f t="shared" si="1"/>
        <v>682.09429429916895</v>
      </c>
      <c r="V10" s="207">
        <f t="shared" si="2"/>
        <v>4967.2439396743448</v>
      </c>
      <c r="W10" s="206">
        <v>0.18</v>
      </c>
      <c r="X10" s="206">
        <v>0.17</v>
      </c>
      <c r="Y10" s="70">
        <f t="shared" si="14"/>
        <v>26292.586041095976</v>
      </c>
      <c r="Z10" s="69">
        <f t="shared" si="15"/>
        <v>25417.471931617696</v>
      </c>
      <c r="AA10" s="70">
        <f t="shared" si="16"/>
        <v>677.92808829276521</v>
      </c>
      <c r="AB10" s="70">
        <f t="shared" si="17"/>
        <v>197.18602118551414</v>
      </c>
      <c r="AC10" s="208">
        <f t="shared" si="18"/>
        <v>2398.2728868587292</v>
      </c>
      <c r="AD10" s="209">
        <f t="shared" si="30"/>
        <v>956.3909371668484</v>
      </c>
      <c r="AE10" s="208">
        <f t="shared" si="31"/>
        <v>462.41088096963841</v>
      </c>
      <c r="AF10" s="208">
        <f t="shared" si="32"/>
        <v>979.47106872224208</v>
      </c>
      <c r="AG10" s="206">
        <v>0.15</v>
      </c>
      <c r="AH10" s="206">
        <v>0.2</v>
      </c>
      <c r="AI10" s="208">
        <f t="shared" si="19"/>
        <v>5258.5172082191948</v>
      </c>
      <c r="AJ10" s="208">
        <f t="shared" si="33"/>
        <v>5083.4943863235394</v>
      </c>
      <c r="AK10" s="208">
        <f t="shared" si="34"/>
        <v>135.58561765855305</v>
      </c>
      <c r="AL10" s="208">
        <f t="shared" si="35"/>
        <v>39.437204237102833</v>
      </c>
      <c r="AM10" s="208">
        <f t="shared" si="20"/>
        <v>479.6545773717458</v>
      </c>
      <c r="AN10" s="208">
        <f t="shared" si="36"/>
        <v>191.27818743336968</v>
      </c>
      <c r="AO10" s="208">
        <f t="shared" si="37"/>
        <v>92.482176193927671</v>
      </c>
      <c r="AP10" s="208">
        <f t="shared" si="38"/>
        <v>195.89421374444845</v>
      </c>
      <c r="AQ10" s="206">
        <v>0.43</v>
      </c>
      <c r="AR10" s="206">
        <v>0.43</v>
      </c>
      <c r="AS10" s="208">
        <f t="shared" si="21"/>
        <v>2261.1623995342538</v>
      </c>
      <c r="AT10" s="209">
        <f t="shared" si="39"/>
        <v>2185.9025861191221</v>
      </c>
      <c r="AU10" s="208">
        <f t="shared" si="40"/>
        <v>58.301815593177807</v>
      </c>
      <c r="AV10" s="208">
        <f t="shared" si="41"/>
        <v>16.957997821954219</v>
      </c>
      <c r="AW10" s="208">
        <f t="shared" si="22"/>
        <v>206.2514682698507</v>
      </c>
      <c r="AX10" s="209">
        <f t="shared" si="42"/>
        <v>82.249620596348976</v>
      </c>
      <c r="AY10" s="208">
        <f t="shared" si="43"/>
        <v>39.7673357633889</v>
      </c>
      <c r="AZ10" s="208">
        <f t="shared" si="44"/>
        <v>84.234511910112843</v>
      </c>
      <c r="BA10" s="206">
        <v>0.8</v>
      </c>
      <c r="BB10" s="210">
        <v>1.5</v>
      </c>
      <c r="BC10" s="208">
        <f t="shared" si="45"/>
        <v>110.00078307725371</v>
      </c>
      <c r="BD10" s="209">
        <f t="shared" si="46"/>
        <v>43.866464318052785</v>
      </c>
      <c r="BE10" s="208">
        <f t="shared" si="47"/>
        <v>21.209245740474081</v>
      </c>
      <c r="BF10" s="208">
        <f t="shared" si="48"/>
        <v>44.925073018726856</v>
      </c>
      <c r="BG10" s="208">
        <f t="shared" si="49"/>
        <v>369.65379429449206</v>
      </c>
      <c r="BH10" s="209">
        <f t="shared" si="50"/>
        <v>147.4117231153169</v>
      </c>
      <c r="BI10" s="208">
        <f t="shared" si="51"/>
        <v>71.272930453453597</v>
      </c>
      <c r="BJ10" s="208">
        <f t="shared" si="52"/>
        <v>150.96914072572159</v>
      </c>
      <c r="BK10" s="208">
        <f t="shared" si="5"/>
        <v>479.65457737174575</v>
      </c>
      <c r="BL10" s="209">
        <f t="shared" si="23"/>
        <v>369.65379429449206</v>
      </c>
      <c r="BM10" s="211">
        <f t="shared" si="6"/>
        <v>110.00078307725371</v>
      </c>
      <c r="BN10" s="11"/>
      <c r="BO10" s="11"/>
      <c r="BP10" s="10"/>
    </row>
    <row r="11" spans="1:68" x14ac:dyDescent="0.25">
      <c r="A11" s="131" t="s">
        <v>8</v>
      </c>
      <c r="B11" s="64">
        <f t="shared" si="7"/>
        <v>461243.12186465482</v>
      </c>
      <c r="C11" s="64">
        <f>'5.1.3 Przeds. niefinansowe'!V12</f>
        <v>450208.91062888014</v>
      </c>
      <c r="D11" s="64">
        <f>'5.1.3 Przeds. niefinansowe'!W12</f>
        <v>8333.6046427008205</v>
      </c>
      <c r="E11" s="64">
        <f>'5.1.3 Przeds. niefinansowe'!X12</f>
        <v>2700.6065930738496</v>
      </c>
      <c r="F11" s="206">
        <f t="shared" si="24"/>
        <v>0.70645000000000002</v>
      </c>
      <c r="G11" s="206">
        <f t="shared" si="25"/>
        <v>0.67645</v>
      </c>
      <c r="H11" s="206">
        <f t="shared" si="26"/>
        <v>0.82385000000000008</v>
      </c>
      <c r="I11" s="212">
        <f t="shared" si="27"/>
        <v>0.79385000000000006</v>
      </c>
      <c r="J11" s="212">
        <f t="shared" si="28"/>
        <v>0.92180000000000006</v>
      </c>
      <c r="K11" s="212">
        <f t="shared" si="29"/>
        <v>0.89180000000000004</v>
      </c>
      <c r="L11" s="69">
        <f t="shared" si="9"/>
        <v>313567.85060021729</v>
      </c>
      <c r="M11" s="69">
        <f t="shared" si="10"/>
        <v>304543.81759490597</v>
      </c>
      <c r="N11" s="69">
        <f t="shared" si="11"/>
        <v>6615.6320456080466</v>
      </c>
      <c r="O11" s="69">
        <f t="shared" si="12"/>
        <v>2408.4009597032591</v>
      </c>
      <c r="P11" s="69">
        <f t="shared" si="13"/>
        <v>50982484.698059887</v>
      </c>
      <c r="Q11" s="69">
        <f>'5.1.1 Nakłady_razem'!BL9</f>
        <v>23771027.492868863</v>
      </c>
      <c r="R11" s="69">
        <f>'5.1.1 Nakłady_razem'!BM9</f>
        <v>8274580.0907402877</v>
      </c>
      <c r="S11" s="69">
        <f>'5.1.1 Nakłady_razem'!BN9</f>
        <v>18936877.114450738</v>
      </c>
      <c r="T11" s="207">
        <f t="shared" si="0"/>
        <v>78.054539673789378</v>
      </c>
      <c r="U11" s="207">
        <f t="shared" si="1"/>
        <v>1250.7618370694568</v>
      </c>
      <c r="V11" s="207">
        <f t="shared" si="2"/>
        <v>7862.8423718880949</v>
      </c>
      <c r="W11" s="206">
        <v>0.18</v>
      </c>
      <c r="X11" s="206">
        <v>0.17</v>
      </c>
      <c r="Y11" s="70">
        <f t="shared" si="14"/>
        <v>53306.53460203694</v>
      </c>
      <c r="Z11" s="69">
        <f t="shared" si="15"/>
        <v>51772.448991134021</v>
      </c>
      <c r="AA11" s="70">
        <f t="shared" si="16"/>
        <v>1124.6574477533679</v>
      </c>
      <c r="AB11" s="70">
        <f t="shared" si="17"/>
        <v>409.42816314955405</v>
      </c>
      <c r="AC11" s="208">
        <f t="shared" si="18"/>
        <v>8667.0223986701822</v>
      </c>
      <c r="AD11" s="209">
        <f t="shared" si="30"/>
        <v>4041.0746737877075</v>
      </c>
      <c r="AE11" s="208">
        <f t="shared" si="31"/>
        <v>1406.6786154258491</v>
      </c>
      <c r="AF11" s="208">
        <f t="shared" si="32"/>
        <v>3219.2691094566253</v>
      </c>
      <c r="AG11" s="206">
        <v>0.15</v>
      </c>
      <c r="AH11" s="206">
        <v>0.2</v>
      </c>
      <c r="AI11" s="208">
        <f t="shared" si="19"/>
        <v>10661.306920407389</v>
      </c>
      <c r="AJ11" s="208">
        <f t="shared" si="33"/>
        <v>10354.489798226805</v>
      </c>
      <c r="AK11" s="208">
        <f t="shared" si="34"/>
        <v>224.9314895506736</v>
      </c>
      <c r="AL11" s="208">
        <f t="shared" si="35"/>
        <v>81.885632629910816</v>
      </c>
      <c r="AM11" s="208">
        <f t="shared" si="20"/>
        <v>1733.4044797340366</v>
      </c>
      <c r="AN11" s="208">
        <f t="shared" si="36"/>
        <v>808.21493475754153</v>
      </c>
      <c r="AO11" s="208">
        <f t="shared" si="37"/>
        <v>281.33572308516983</v>
      </c>
      <c r="AP11" s="208">
        <f t="shared" si="38"/>
        <v>643.8538218913252</v>
      </c>
      <c r="AQ11" s="206">
        <v>0.43</v>
      </c>
      <c r="AR11" s="206">
        <v>0.43</v>
      </c>
      <c r="AS11" s="208">
        <f t="shared" si="21"/>
        <v>4584.3619757751776</v>
      </c>
      <c r="AT11" s="209">
        <f t="shared" si="39"/>
        <v>4452.4306132375259</v>
      </c>
      <c r="AU11" s="208">
        <f t="shared" si="40"/>
        <v>96.720540506789646</v>
      </c>
      <c r="AV11" s="208">
        <f t="shared" si="41"/>
        <v>35.21082203086165</v>
      </c>
      <c r="AW11" s="208">
        <f t="shared" si="22"/>
        <v>745.36392628563567</v>
      </c>
      <c r="AX11" s="209">
        <f t="shared" si="42"/>
        <v>347.53242194574284</v>
      </c>
      <c r="AY11" s="208">
        <f t="shared" si="43"/>
        <v>120.97436092662302</v>
      </c>
      <c r="AZ11" s="208">
        <f t="shared" si="44"/>
        <v>276.8571434132698</v>
      </c>
      <c r="BA11" s="206">
        <v>0.8</v>
      </c>
      <c r="BB11" s="210">
        <v>1.5</v>
      </c>
      <c r="BC11" s="208">
        <f t="shared" si="45"/>
        <v>397.52742735233903</v>
      </c>
      <c r="BD11" s="209">
        <f t="shared" si="46"/>
        <v>185.35062503772951</v>
      </c>
      <c r="BE11" s="208">
        <f t="shared" si="47"/>
        <v>64.519659160865615</v>
      </c>
      <c r="BF11" s="208">
        <f t="shared" si="48"/>
        <v>147.6571431537439</v>
      </c>
      <c r="BG11" s="208">
        <f t="shared" si="49"/>
        <v>1335.8770523816975</v>
      </c>
      <c r="BH11" s="209">
        <f t="shared" si="50"/>
        <v>622.86430971981201</v>
      </c>
      <c r="BI11" s="208">
        <f t="shared" si="51"/>
        <v>216.81606392430422</v>
      </c>
      <c r="BJ11" s="208">
        <f t="shared" si="52"/>
        <v>496.19667873758129</v>
      </c>
      <c r="BK11" s="208">
        <f t="shared" si="5"/>
        <v>1733.4044797340366</v>
      </c>
      <c r="BL11" s="209">
        <f t="shared" si="23"/>
        <v>1335.8770523816975</v>
      </c>
      <c r="BM11" s="211">
        <f t="shared" si="6"/>
        <v>397.52742735233903</v>
      </c>
      <c r="BN11" s="11"/>
      <c r="BO11" s="11"/>
      <c r="BP11" s="10"/>
    </row>
    <row r="12" spans="1:68" x14ac:dyDescent="0.25">
      <c r="A12" s="131" t="s">
        <v>9</v>
      </c>
      <c r="B12" s="64">
        <f t="shared" si="7"/>
        <v>45658.627667825494</v>
      </c>
      <c r="C12" s="64">
        <f>'5.1.3 Przeds. niefinansowe'!V13</f>
        <v>44110.010133325748</v>
      </c>
      <c r="D12" s="64">
        <f>'5.1.3 Przeds. niefinansowe'!W13</f>
        <v>1230.2921351546868</v>
      </c>
      <c r="E12" s="64">
        <f>'5.1.3 Przeds. niefinansowe'!X13</f>
        <v>318.32539934505269</v>
      </c>
      <c r="F12" s="206">
        <f t="shared" si="24"/>
        <v>0.70645000000000002</v>
      </c>
      <c r="G12" s="206">
        <f t="shared" si="25"/>
        <v>0.67645</v>
      </c>
      <c r="H12" s="206">
        <f t="shared" si="26"/>
        <v>0.82385000000000008</v>
      </c>
      <c r="I12" s="212">
        <f t="shared" si="27"/>
        <v>0.79385000000000006</v>
      </c>
      <c r="J12" s="212">
        <f t="shared" si="28"/>
        <v>0.92180000000000006</v>
      </c>
      <c r="K12" s="212">
        <f t="shared" si="29"/>
        <v>0.89180000000000004</v>
      </c>
      <c r="L12" s="69">
        <f t="shared" si="9"/>
        <v>31098.766357316668</v>
      </c>
      <c r="M12" s="69">
        <f t="shared" si="10"/>
        <v>29838.216354688204</v>
      </c>
      <c r="N12" s="69">
        <f t="shared" si="11"/>
        <v>976.66741149254813</v>
      </c>
      <c r="O12" s="69">
        <f t="shared" si="12"/>
        <v>283.88259113591801</v>
      </c>
      <c r="P12" s="69">
        <f t="shared" si="13"/>
        <v>3811255.23491232</v>
      </c>
      <c r="Q12" s="69">
        <f>'5.1.1 Nakłady_razem'!BL10</f>
        <v>1400899.0865499415</v>
      </c>
      <c r="R12" s="69">
        <f>'5.1.1 Nakłady_razem'!BM10</f>
        <v>693551.77711220272</v>
      </c>
      <c r="S12" s="69">
        <f>'5.1.1 Nakłady_razem'!BN10</f>
        <v>1716804.3712501759</v>
      </c>
      <c r="T12" s="207">
        <f t="shared" si="0"/>
        <v>46.949826688612745</v>
      </c>
      <c r="U12" s="207">
        <f t="shared" si="1"/>
        <v>710.12073194119728</v>
      </c>
      <c r="V12" s="207">
        <f t="shared" si="2"/>
        <v>6047.5859558017073</v>
      </c>
      <c r="W12" s="206">
        <v>0.18</v>
      </c>
      <c r="X12" s="206">
        <v>0.17</v>
      </c>
      <c r="Y12" s="70">
        <f t="shared" si="14"/>
        <v>5286.790280743834</v>
      </c>
      <c r="Z12" s="69">
        <f t="shared" si="15"/>
        <v>5072.496780296995</v>
      </c>
      <c r="AA12" s="70">
        <f t="shared" si="16"/>
        <v>166.0334599537332</v>
      </c>
      <c r="AB12" s="70">
        <f t="shared" si="17"/>
        <v>48.260040493106061</v>
      </c>
      <c r="AC12" s="208">
        <f t="shared" si="18"/>
        <v>647.91338993509453</v>
      </c>
      <c r="AD12" s="209">
        <f t="shared" si="30"/>
        <v>238.15284471349008</v>
      </c>
      <c r="AE12" s="208">
        <f t="shared" si="31"/>
        <v>117.90380210907449</v>
      </c>
      <c r="AF12" s="208">
        <f t="shared" si="32"/>
        <v>291.8567431125299</v>
      </c>
      <c r="AG12" s="206">
        <v>0.15</v>
      </c>
      <c r="AH12" s="206">
        <v>0.2</v>
      </c>
      <c r="AI12" s="208">
        <f t="shared" si="19"/>
        <v>1057.358056148767</v>
      </c>
      <c r="AJ12" s="208">
        <f t="shared" si="33"/>
        <v>1014.499356059399</v>
      </c>
      <c r="AK12" s="208">
        <f t="shared" si="34"/>
        <v>33.206691990746641</v>
      </c>
      <c r="AL12" s="208">
        <f t="shared" si="35"/>
        <v>9.6520080986212129</v>
      </c>
      <c r="AM12" s="208">
        <f t="shared" si="20"/>
        <v>129.58267798701891</v>
      </c>
      <c r="AN12" s="208">
        <f t="shared" si="36"/>
        <v>47.630568942698019</v>
      </c>
      <c r="AO12" s="208">
        <f t="shared" si="37"/>
        <v>23.580760421814897</v>
      </c>
      <c r="AP12" s="208">
        <f t="shared" si="38"/>
        <v>58.371348622505991</v>
      </c>
      <c r="AQ12" s="206">
        <v>0.43</v>
      </c>
      <c r="AR12" s="206">
        <v>0.43</v>
      </c>
      <c r="AS12" s="208">
        <f t="shared" si="21"/>
        <v>454.66396414396968</v>
      </c>
      <c r="AT12" s="209">
        <f t="shared" si="39"/>
        <v>436.23472310554155</v>
      </c>
      <c r="AU12" s="208">
        <f t="shared" si="40"/>
        <v>14.278877556021056</v>
      </c>
      <c r="AV12" s="208">
        <f t="shared" si="41"/>
        <v>4.1503634824071218</v>
      </c>
      <c r="AW12" s="208">
        <f t="shared" si="22"/>
        <v>55.720551534418128</v>
      </c>
      <c r="AX12" s="209">
        <f t="shared" si="42"/>
        <v>20.481144645360146</v>
      </c>
      <c r="AY12" s="208">
        <f t="shared" si="43"/>
        <v>10.139726981380408</v>
      </c>
      <c r="AZ12" s="208">
        <f t="shared" si="44"/>
        <v>25.099679907677576</v>
      </c>
      <c r="BA12" s="206">
        <v>0.8</v>
      </c>
      <c r="BB12" s="210">
        <v>1.5</v>
      </c>
      <c r="BC12" s="208">
        <f t="shared" si="45"/>
        <v>29.717627485023002</v>
      </c>
      <c r="BD12" s="209">
        <f t="shared" si="46"/>
        <v>10.923277144192078</v>
      </c>
      <c r="BE12" s="208">
        <f t="shared" si="47"/>
        <v>5.4078543900695513</v>
      </c>
      <c r="BF12" s="208">
        <f t="shared" si="48"/>
        <v>13.386495950761374</v>
      </c>
      <c r="BG12" s="208">
        <f t="shared" si="49"/>
        <v>99.86505050199591</v>
      </c>
      <c r="BH12" s="209">
        <f t="shared" si="50"/>
        <v>36.707291798505942</v>
      </c>
      <c r="BI12" s="208">
        <f t="shared" si="51"/>
        <v>18.172906031745345</v>
      </c>
      <c r="BJ12" s="208">
        <f t="shared" si="52"/>
        <v>44.984852671744619</v>
      </c>
      <c r="BK12" s="208">
        <f t="shared" si="5"/>
        <v>129.58267798701891</v>
      </c>
      <c r="BL12" s="209">
        <f t="shared" si="23"/>
        <v>99.86505050199591</v>
      </c>
      <c r="BM12" s="211">
        <f t="shared" si="6"/>
        <v>29.717627485023002</v>
      </c>
      <c r="BN12" s="11"/>
      <c r="BO12" s="11"/>
      <c r="BP12" s="10"/>
    </row>
    <row r="13" spans="1:68" x14ac:dyDescent="0.25">
      <c r="A13" s="131" t="s">
        <v>10</v>
      </c>
      <c r="B13" s="64">
        <f t="shared" si="7"/>
        <v>95948.124621844108</v>
      </c>
      <c r="C13" s="64">
        <f>'5.1.3 Przeds. niefinansowe'!V14</f>
        <v>92654.236678522342</v>
      </c>
      <c r="D13" s="64">
        <f>'5.1.3 Przeds. niefinansowe'!W14</f>
        <v>2591.4995643811581</v>
      </c>
      <c r="E13" s="64">
        <f>'5.1.3 Przeds. niefinansowe'!X14</f>
        <v>702.38837894061589</v>
      </c>
      <c r="F13" s="206">
        <f t="shared" si="24"/>
        <v>0.70645000000000002</v>
      </c>
      <c r="G13" s="206">
        <f t="shared" si="25"/>
        <v>0.67645</v>
      </c>
      <c r="H13" s="206">
        <f t="shared" si="26"/>
        <v>0.82385000000000008</v>
      </c>
      <c r="I13" s="212">
        <f t="shared" si="27"/>
        <v>0.79385000000000006</v>
      </c>
      <c r="J13" s="212">
        <f t="shared" si="28"/>
        <v>0.92180000000000006</v>
      </c>
      <c r="K13" s="212">
        <f t="shared" si="29"/>
        <v>0.89180000000000004</v>
      </c>
      <c r="L13" s="69">
        <f t="shared" si="9"/>
        <v>65359.610286709656</v>
      </c>
      <c r="M13" s="69">
        <f t="shared" si="10"/>
        <v>62675.958401186435</v>
      </c>
      <c r="N13" s="69">
        <f t="shared" si="11"/>
        <v>2057.2619291839824</v>
      </c>
      <c r="O13" s="69">
        <f t="shared" si="12"/>
        <v>626.38995633924128</v>
      </c>
      <c r="P13" s="69">
        <f t="shared" si="13"/>
        <v>7296265.2311820267</v>
      </c>
      <c r="Q13" s="69">
        <f>'5.1.1 Nakłady_razem'!BL11</f>
        <v>2203062.9556481172</v>
      </c>
      <c r="R13" s="69">
        <f>'5.1.1 Nakłady_razem'!BM11</f>
        <v>1809008.0445422609</v>
      </c>
      <c r="S13" s="69">
        <f>'5.1.1 Nakłady_razem'!BN11</f>
        <v>3284194.2309916485</v>
      </c>
      <c r="T13" s="207">
        <f t="shared" si="0"/>
        <v>35.150048149984315</v>
      </c>
      <c r="U13" s="207">
        <f t="shared" si="1"/>
        <v>879.32801306433942</v>
      </c>
      <c r="V13" s="207">
        <f t="shared" si="2"/>
        <v>5243.0505913364123</v>
      </c>
      <c r="W13" s="206">
        <v>0.18</v>
      </c>
      <c r="X13" s="206">
        <v>0.17</v>
      </c>
      <c r="Y13" s="70">
        <f t="shared" si="14"/>
        <v>11111.133748740642</v>
      </c>
      <c r="Z13" s="69">
        <f t="shared" si="15"/>
        <v>10654.912928201695</v>
      </c>
      <c r="AA13" s="70">
        <f t="shared" si="16"/>
        <v>349.73452796127702</v>
      </c>
      <c r="AB13" s="70">
        <f t="shared" si="17"/>
        <v>106.48629257767102</v>
      </c>
      <c r="AC13" s="208">
        <f t="shared" si="18"/>
        <v>1240.3650893009444</v>
      </c>
      <c r="AD13" s="209">
        <f t="shared" si="30"/>
        <v>374.5207024601799</v>
      </c>
      <c r="AE13" s="208">
        <f t="shared" si="31"/>
        <v>307.53136757218437</v>
      </c>
      <c r="AF13" s="208">
        <f t="shared" si="32"/>
        <v>558.31301926858021</v>
      </c>
      <c r="AG13" s="206">
        <v>0.15</v>
      </c>
      <c r="AH13" s="206">
        <v>0.2</v>
      </c>
      <c r="AI13" s="208">
        <f t="shared" si="19"/>
        <v>2222.2267497481289</v>
      </c>
      <c r="AJ13" s="208">
        <f t="shared" si="33"/>
        <v>2130.982585640339</v>
      </c>
      <c r="AK13" s="208">
        <f t="shared" si="34"/>
        <v>69.946905592255405</v>
      </c>
      <c r="AL13" s="208">
        <f t="shared" si="35"/>
        <v>21.297258515534207</v>
      </c>
      <c r="AM13" s="208">
        <f t="shared" si="20"/>
        <v>248.07301786018894</v>
      </c>
      <c r="AN13" s="208">
        <f t="shared" si="36"/>
        <v>74.904140492035992</v>
      </c>
      <c r="AO13" s="208">
        <f t="shared" si="37"/>
        <v>61.506273514436877</v>
      </c>
      <c r="AP13" s="208">
        <f t="shared" si="38"/>
        <v>111.66260385371606</v>
      </c>
      <c r="AQ13" s="206">
        <v>0.43</v>
      </c>
      <c r="AR13" s="206">
        <v>0.43</v>
      </c>
      <c r="AS13" s="208">
        <f t="shared" si="21"/>
        <v>955.55750239169538</v>
      </c>
      <c r="AT13" s="209">
        <f t="shared" si="39"/>
        <v>916.32251182534583</v>
      </c>
      <c r="AU13" s="208">
        <f t="shared" si="40"/>
        <v>30.077169404669824</v>
      </c>
      <c r="AV13" s="208">
        <f t="shared" si="41"/>
        <v>9.1578211616797081</v>
      </c>
      <c r="AW13" s="208">
        <f t="shared" si="22"/>
        <v>106.67139767988124</v>
      </c>
      <c r="AX13" s="209">
        <f t="shared" si="42"/>
        <v>32.208780411575475</v>
      </c>
      <c r="AY13" s="208">
        <f t="shared" si="43"/>
        <v>26.447697611207854</v>
      </c>
      <c r="AZ13" s="208">
        <f t="shared" si="44"/>
        <v>48.014919657097906</v>
      </c>
      <c r="BA13" s="206">
        <v>0.8</v>
      </c>
      <c r="BB13" s="210">
        <v>1.5</v>
      </c>
      <c r="BC13" s="208">
        <f t="shared" si="45"/>
        <v>56.891412095936658</v>
      </c>
      <c r="BD13" s="209">
        <f t="shared" si="46"/>
        <v>17.178016219506919</v>
      </c>
      <c r="BE13" s="208">
        <f t="shared" si="47"/>
        <v>14.105438725977523</v>
      </c>
      <c r="BF13" s="208">
        <f t="shared" si="48"/>
        <v>25.607957150452219</v>
      </c>
      <c r="BG13" s="208">
        <f t="shared" si="49"/>
        <v>191.18160576425228</v>
      </c>
      <c r="BH13" s="209">
        <f t="shared" si="50"/>
        <v>57.726124272529077</v>
      </c>
      <c r="BI13" s="208">
        <f t="shared" si="51"/>
        <v>47.400834788459356</v>
      </c>
      <c r="BJ13" s="208">
        <f t="shared" si="52"/>
        <v>86.054646703263842</v>
      </c>
      <c r="BK13" s="208">
        <f t="shared" si="5"/>
        <v>248.07301786018894</v>
      </c>
      <c r="BL13" s="209">
        <f t="shared" si="23"/>
        <v>191.18160576425228</v>
      </c>
      <c r="BM13" s="211">
        <f t="shared" si="6"/>
        <v>56.891412095936658</v>
      </c>
      <c r="BN13" s="11"/>
      <c r="BO13" s="11"/>
      <c r="BP13" s="10"/>
    </row>
    <row r="14" spans="1:68" x14ac:dyDescent="0.25">
      <c r="A14" s="131" t="s">
        <v>11</v>
      </c>
      <c r="B14" s="64">
        <f t="shared" si="7"/>
        <v>57327.482757536869</v>
      </c>
      <c r="C14" s="64">
        <f>'5.1.3 Przeds. niefinansowe'!V15</f>
        <v>55693.766742240427</v>
      </c>
      <c r="D14" s="64">
        <f>'5.1.3 Przeds. niefinansowe'!W15</f>
        <v>1259.8158291151346</v>
      </c>
      <c r="E14" s="64">
        <f>'5.1.3 Przeds. niefinansowe'!X15</f>
        <v>373.90018618130716</v>
      </c>
      <c r="F14" s="206">
        <f t="shared" si="24"/>
        <v>0.70645000000000002</v>
      </c>
      <c r="G14" s="206">
        <f t="shared" si="25"/>
        <v>0.67645</v>
      </c>
      <c r="H14" s="206">
        <f t="shared" si="26"/>
        <v>0.82385000000000008</v>
      </c>
      <c r="I14" s="212">
        <f t="shared" si="27"/>
        <v>0.79385000000000006</v>
      </c>
      <c r="J14" s="212">
        <f t="shared" si="28"/>
        <v>0.92180000000000006</v>
      </c>
      <c r="K14" s="212">
        <f t="shared" si="29"/>
        <v>0.89180000000000004</v>
      </c>
      <c r="L14" s="69">
        <f t="shared" si="9"/>
        <v>39007.597494768073</v>
      </c>
      <c r="M14" s="69">
        <f t="shared" si="10"/>
        <v>37674.048512788533</v>
      </c>
      <c r="N14" s="69">
        <f t="shared" si="11"/>
        <v>1000.1047959430497</v>
      </c>
      <c r="O14" s="69">
        <f t="shared" si="12"/>
        <v>333.44418603648973</v>
      </c>
      <c r="P14" s="69">
        <f t="shared" si="13"/>
        <v>3598583.2046222938</v>
      </c>
      <c r="Q14" s="69">
        <f>'5.1.1 Nakłady_razem'!BL12</f>
        <v>1036416.2679231574</v>
      </c>
      <c r="R14" s="69">
        <f>'5.1.1 Nakłady_razem'!BM12</f>
        <v>960614.6138179414</v>
      </c>
      <c r="S14" s="69">
        <f>'5.1.1 Nakłady_razem'!BN12</f>
        <v>1601552.3228811948</v>
      </c>
      <c r="T14" s="207">
        <f t="shared" si="0"/>
        <v>27.510084762229464</v>
      </c>
      <c r="U14" s="207">
        <f t="shared" si="1"/>
        <v>960.51395585212549</v>
      </c>
      <c r="V14" s="207">
        <f t="shared" si="2"/>
        <v>4803.0596721993306</v>
      </c>
      <c r="W14" s="206">
        <v>0.18</v>
      </c>
      <c r="X14" s="206">
        <v>0.17</v>
      </c>
      <c r="Y14" s="70">
        <f t="shared" si="14"/>
        <v>6631.2915741105735</v>
      </c>
      <c r="Z14" s="69">
        <f t="shared" si="15"/>
        <v>6404.5882471740515</v>
      </c>
      <c r="AA14" s="70">
        <f t="shared" si="16"/>
        <v>170.01781531031847</v>
      </c>
      <c r="AB14" s="70">
        <f t="shared" si="17"/>
        <v>56.685511626203258</v>
      </c>
      <c r="AC14" s="208">
        <f t="shared" si="18"/>
        <v>611.75914478578989</v>
      </c>
      <c r="AD14" s="209">
        <f t="shared" si="30"/>
        <v>176.19076554693677</v>
      </c>
      <c r="AE14" s="208">
        <f t="shared" si="31"/>
        <v>163.30448434905006</v>
      </c>
      <c r="AF14" s="208">
        <f t="shared" si="32"/>
        <v>272.26389488980311</v>
      </c>
      <c r="AG14" s="206">
        <v>0.15</v>
      </c>
      <c r="AH14" s="206">
        <v>0.2</v>
      </c>
      <c r="AI14" s="208">
        <f t="shared" si="19"/>
        <v>1326.2583148221147</v>
      </c>
      <c r="AJ14" s="208">
        <f t="shared" si="33"/>
        <v>1280.9176494348103</v>
      </c>
      <c r="AK14" s="208">
        <f t="shared" si="34"/>
        <v>34.003563062063698</v>
      </c>
      <c r="AL14" s="208">
        <f t="shared" si="35"/>
        <v>11.337102325240652</v>
      </c>
      <c r="AM14" s="208">
        <f t="shared" si="20"/>
        <v>122.35182895715801</v>
      </c>
      <c r="AN14" s="208">
        <f t="shared" si="36"/>
        <v>35.238153109387355</v>
      </c>
      <c r="AO14" s="208">
        <f t="shared" si="37"/>
        <v>32.660896869810017</v>
      </c>
      <c r="AP14" s="208">
        <f t="shared" si="38"/>
        <v>54.452778977960634</v>
      </c>
      <c r="AQ14" s="206">
        <v>0.43</v>
      </c>
      <c r="AR14" s="206">
        <v>0.43</v>
      </c>
      <c r="AS14" s="208">
        <f t="shared" si="21"/>
        <v>570.29107537350922</v>
      </c>
      <c r="AT14" s="209">
        <f t="shared" si="39"/>
        <v>550.79458925696838</v>
      </c>
      <c r="AU14" s="208">
        <f t="shared" si="40"/>
        <v>14.621532116687391</v>
      </c>
      <c r="AV14" s="208">
        <f t="shared" si="41"/>
        <v>4.8749539998534805</v>
      </c>
      <c r="AW14" s="208">
        <f t="shared" si="22"/>
        <v>52.611286451577939</v>
      </c>
      <c r="AX14" s="209">
        <f t="shared" si="42"/>
        <v>15.152405837036563</v>
      </c>
      <c r="AY14" s="208">
        <f t="shared" si="43"/>
        <v>14.044185654018307</v>
      </c>
      <c r="AZ14" s="208">
        <f t="shared" si="44"/>
        <v>23.414694960523072</v>
      </c>
      <c r="BA14" s="206">
        <v>0.8</v>
      </c>
      <c r="BB14" s="210">
        <v>1.5</v>
      </c>
      <c r="BC14" s="208">
        <f t="shared" si="45"/>
        <v>28.059352774174904</v>
      </c>
      <c r="BD14" s="209">
        <f t="shared" si="46"/>
        <v>8.0812831130861671</v>
      </c>
      <c r="BE14" s="208">
        <f t="shared" si="47"/>
        <v>7.4902323488097649</v>
      </c>
      <c r="BF14" s="208">
        <f t="shared" si="48"/>
        <v>12.487837312278971</v>
      </c>
      <c r="BG14" s="208">
        <f t="shared" si="49"/>
        <v>94.292476182983108</v>
      </c>
      <c r="BH14" s="209">
        <f t="shared" si="50"/>
        <v>27.156869996301189</v>
      </c>
      <c r="BI14" s="208">
        <f t="shared" si="51"/>
        <v>25.170664521000251</v>
      </c>
      <c r="BJ14" s="208">
        <f t="shared" si="52"/>
        <v>41.964941665681664</v>
      </c>
      <c r="BK14" s="208">
        <f t="shared" si="5"/>
        <v>122.35182895715801</v>
      </c>
      <c r="BL14" s="209">
        <f t="shared" si="23"/>
        <v>94.292476182983108</v>
      </c>
      <c r="BM14" s="211">
        <f t="shared" si="6"/>
        <v>28.059352774174904</v>
      </c>
      <c r="BN14" s="11"/>
      <c r="BO14" s="11"/>
      <c r="BP14" s="10"/>
    </row>
    <row r="15" spans="1:68" x14ac:dyDescent="0.25">
      <c r="A15" s="131" t="s">
        <v>12</v>
      </c>
      <c r="B15" s="64">
        <f t="shared" si="7"/>
        <v>157105.41267823215</v>
      </c>
      <c r="C15" s="64">
        <f>'5.1.3 Przeds. niefinansowe'!V16</f>
        <v>153046.37238254413</v>
      </c>
      <c r="D15" s="64">
        <f>'5.1.3 Przeds. niefinansowe'!W16</f>
        <v>3106.371142522325</v>
      </c>
      <c r="E15" s="64">
        <f>'5.1.3 Przeds. niefinansowe'!X16</f>
        <v>952.66915316572408</v>
      </c>
      <c r="F15" s="206">
        <f t="shared" si="24"/>
        <v>0.70645000000000002</v>
      </c>
      <c r="G15" s="206">
        <f t="shared" si="25"/>
        <v>0.67645</v>
      </c>
      <c r="H15" s="206">
        <f t="shared" si="26"/>
        <v>0.82385000000000008</v>
      </c>
      <c r="I15" s="212">
        <f t="shared" si="27"/>
        <v>0.79385000000000006</v>
      </c>
      <c r="J15" s="212">
        <f t="shared" si="28"/>
        <v>0.92180000000000006</v>
      </c>
      <c r="K15" s="212">
        <f t="shared" si="29"/>
        <v>0.89180000000000004</v>
      </c>
      <c r="L15" s="69">
        <f t="shared" si="9"/>
        <v>106843.80168045651</v>
      </c>
      <c r="M15" s="69">
        <f t="shared" si="10"/>
        <v>103528.21859817197</v>
      </c>
      <c r="N15" s="69">
        <f t="shared" si="11"/>
        <v>2465.992731491348</v>
      </c>
      <c r="O15" s="69">
        <f t="shared" si="12"/>
        <v>849.59035079319278</v>
      </c>
      <c r="P15" s="69">
        <f t="shared" si="13"/>
        <v>11547833.910268586</v>
      </c>
      <c r="Q15" s="69">
        <f>'5.1.1 Nakłady_razem'!BL13</f>
        <v>4107310.358248448</v>
      </c>
      <c r="R15" s="69">
        <f>'5.1.1 Nakłady_razem'!BM13</f>
        <v>1952374.0313414827</v>
      </c>
      <c r="S15" s="69">
        <f>'5.1.1 Nakłady_razem'!BN13</f>
        <v>5488149.5206786562</v>
      </c>
      <c r="T15" s="207">
        <f t="shared" si="0"/>
        <v>39.673341373624027</v>
      </c>
      <c r="U15" s="207">
        <f t="shared" si="1"/>
        <v>791.71929682077916</v>
      </c>
      <c r="V15" s="207">
        <f t="shared" si="2"/>
        <v>6459.7597130838667</v>
      </c>
      <c r="W15" s="206">
        <v>0.18</v>
      </c>
      <c r="X15" s="206">
        <v>0.17</v>
      </c>
      <c r="Y15" s="70">
        <f t="shared" si="14"/>
        <v>18163.446285677608</v>
      </c>
      <c r="Z15" s="69">
        <f t="shared" si="15"/>
        <v>17599.797161689236</v>
      </c>
      <c r="AA15" s="70">
        <f t="shared" si="16"/>
        <v>419.2187643535292</v>
      </c>
      <c r="AB15" s="70">
        <f t="shared" si="17"/>
        <v>144.43035963484277</v>
      </c>
      <c r="AC15" s="208">
        <f t="shared" si="18"/>
        <v>1963.1317647456599</v>
      </c>
      <c r="AD15" s="209">
        <f t="shared" si="30"/>
        <v>698.24276090223623</v>
      </c>
      <c r="AE15" s="208">
        <f t="shared" si="31"/>
        <v>331.90358532805203</v>
      </c>
      <c r="AF15" s="208">
        <f t="shared" si="32"/>
        <v>932.98541851537163</v>
      </c>
      <c r="AG15" s="206">
        <v>0.15</v>
      </c>
      <c r="AH15" s="206">
        <v>0.2</v>
      </c>
      <c r="AI15" s="208">
        <f t="shared" si="19"/>
        <v>3632.689257135522</v>
      </c>
      <c r="AJ15" s="208">
        <f t="shared" si="33"/>
        <v>3519.9594323378474</v>
      </c>
      <c r="AK15" s="208">
        <f t="shared" si="34"/>
        <v>83.843752870705842</v>
      </c>
      <c r="AL15" s="208">
        <f t="shared" si="35"/>
        <v>28.886071926968555</v>
      </c>
      <c r="AM15" s="208">
        <f t="shared" si="20"/>
        <v>392.62635294913196</v>
      </c>
      <c r="AN15" s="208">
        <f t="shared" si="36"/>
        <v>139.64855218044727</v>
      </c>
      <c r="AO15" s="208">
        <f t="shared" si="37"/>
        <v>66.380717065610412</v>
      </c>
      <c r="AP15" s="208">
        <f t="shared" si="38"/>
        <v>186.5970837030743</v>
      </c>
      <c r="AQ15" s="206">
        <v>0.43</v>
      </c>
      <c r="AR15" s="206">
        <v>0.43</v>
      </c>
      <c r="AS15" s="208">
        <f t="shared" si="21"/>
        <v>1562.0563805682743</v>
      </c>
      <c r="AT15" s="209">
        <f t="shared" si="39"/>
        <v>1513.5825559052744</v>
      </c>
      <c r="AU15" s="208">
        <f t="shared" si="40"/>
        <v>36.052813734403514</v>
      </c>
      <c r="AV15" s="208">
        <f t="shared" si="41"/>
        <v>12.421010928596479</v>
      </c>
      <c r="AW15" s="208">
        <f t="shared" si="22"/>
        <v>168.82933176812676</v>
      </c>
      <c r="AX15" s="209">
        <f t="shared" si="42"/>
        <v>60.048877437592324</v>
      </c>
      <c r="AY15" s="208">
        <f t="shared" si="43"/>
        <v>28.543708338212479</v>
      </c>
      <c r="AZ15" s="208">
        <f t="shared" si="44"/>
        <v>80.236745992321957</v>
      </c>
      <c r="BA15" s="206">
        <v>0.8</v>
      </c>
      <c r="BB15" s="210">
        <v>1.5</v>
      </c>
      <c r="BC15" s="208">
        <f t="shared" si="45"/>
        <v>90.042310276334277</v>
      </c>
      <c r="BD15" s="209">
        <f t="shared" si="46"/>
        <v>32.026067966715907</v>
      </c>
      <c r="BE15" s="208">
        <f t="shared" si="47"/>
        <v>15.223311113713322</v>
      </c>
      <c r="BF15" s="208">
        <f t="shared" si="48"/>
        <v>42.792931195905048</v>
      </c>
      <c r="BG15" s="208">
        <f t="shared" si="49"/>
        <v>302.58404267279769</v>
      </c>
      <c r="BH15" s="209">
        <f t="shared" si="50"/>
        <v>107.62248421373135</v>
      </c>
      <c r="BI15" s="208">
        <f t="shared" si="51"/>
        <v>51.15740595189709</v>
      </c>
      <c r="BJ15" s="208">
        <f t="shared" si="52"/>
        <v>143.80415250716925</v>
      </c>
      <c r="BK15" s="208">
        <f t="shared" si="5"/>
        <v>392.62635294913196</v>
      </c>
      <c r="BL15" s="209">
        <f t="shared" si="23"/>
        <v>302.58404267279769</v>
      </c>
      <c r="BM15" s="211">
        <f t="shared" si="6"/>
        <v>90.042310276334277</v>
      </c>
      <c r="BN15" s="11"/>
      <c r="BO15" s="11"/>
      <c r="BP15" s="10"/>
    </row>
    <row r="16" spans="1:68" x14ac:dyDescent="0.25">
      <c r="A16" s="131" t="s">
        <v>13</v>
      </c>
      <c r="B16" s="64">
        <f t="shared" si="7"/>
        <v>250104.53200976443</v>
      </c>
      <c r="C16" s="64">
        <f>'5.1.3 Przeds. niefinansowe'!V17</f>
        <v>241544.08810428879</v>
      </c>
      <c r="D16" s="64">
        <f>'5.1.3 Przeds. niefinansowe'!W17</f>
        <v>6676.6957915148714</v>
      </c>
      <c r="E16" s="64">
        <f>'5.1.3 Przeds. niefinansowe'!X17</f>
        <v>1883.7481139607485</v>
      </c>
      <c r="F16" s="206">
        <f t="shared" si="24"/>
        <v>0.70645000000000002</v>
      </c>
      <c r="G16" s="206">
        <f t="shared" si="25"/>
        <v>0.67645</v>
      </c>
      <c r="H16" s="206">
        <f t="shared" si="26"/>
        <v>0.82385000000000008</v>
      </c>
      <c r="I16" s="212">
        <f t="shared" si="27"/>
        <v>0.79385000000000006</v>
      </c>
      <c r="J16" s="212">
        <f t="shared" si="28"/>
        <v>0.92180000000000006</v>
      </c>
      <c r="K16" s="212">
        <f t="shared" si="29"/>
        <v>0.89180000000000004</v>
      </c>
      <c r="L16" s="69">
        <f t="shared" si="9"/>
        <v>170372.71992027044</v>
      </c>
      <c r="M16" s="69">
        <f t="shared" si="10"/>
        <v>163392.49839814616</v>
      </c>
      <c r="N16" s="69">
        <f t="shared" si="11"/>
        <v>5300.2949540940808</v>
      </c>
      <c r="O16" s="69">
        <f t="shared" si="12"/>
        <v>1679.9265680301955</v>
      </c>
      <c r="P16" s="69">
        <f t="shared" si="13"/>
        <v>21146671.279381439</v>
      </c>
      <c r="Q16" s="69">
        <f>'5.1.1 Nakłady_razem'!BL14</f>
        <v>5605178.8264836688</v>
      </c>
      <c r="R16" s="69">
        <f>'5.1.1 Nakłady_razem'!BM14</f>
        <v>3960039.1466301121</v>
      </c>
      <c r="S16" s="69">
        <f>'5.1.1 Nakłady_razem'!BN14</f>
        <v>11581453.30626766</v>
      </c>
      <c r="T16" s="207">
        <f t="shared" si="0"/>
        <v>34.304994913690997</v>
      </c>
      <c r="U16" s="207">
        <f t="shared" si="1"/>
        <v>747.13561809824921</v>
      </c>
      <c r="V16" s="207">
        <f t="shared" si="2"/>
        <v>6894.0235404738787</v>
      </c>
      <c r="W16" s="206">
        <v>0.18</v>
      </c>
      <c r="X16" s="206">
        <v>0.17</v>
      </c>
      <c r="Y16" s="70">
        <f t="shared" si="14"/>
        <v>28963.362386445977</v>
      </c>
      <c r="Z16" s="69">
        <f t="shared" si="15"/>
        <v>27776.72472768485</v>
      </c>
      <c r="AA16" s="70">
        <f t="shared" si="16"/>
        <v>901.05014219599377</v>
      </c>
      <c r="AB16" s="70">
        <f t="shared" si="17"/>
        <v>285.58751656513328</v>
      </c>
      <c r="AC16" s="208">
        <f t="shared" si="18"/>
        <v>3594.9341174948454</v>
      </c>
      <c r="AD16" s="209">
        <f t="shared" si="30"/>
        <v>952.88040050222378</v>
      </c>
      <c r="AE16" s="208">
        <f t="shared" si="31"/>
        <v>673.20665492711919</v>
      </c>
      <c r="AF16" s="208">
        <f t="shared" si="32"/>
        <v>1968.8470620655025</v>
      </c>
      <c r="AG16" s="206">
        <v>0.15</v>
      </c>
      <c r="AH16" s="206">
        <v>0.2</v>
      </c>
      <c r="AI16" s="208">
        <f t="shared" si="19"/>
        <v>5792.6724772891957</v>
      </c>
      <c r="AJ16" s="208">
        <f t="shared" si="33"/>
        <v>5555.34494553697</v>
      </c>
      <c r="AK16" s="208">
        <f t="shared" si="34"/>
        <v>180.21002843919877</v>
      </c>
      <c r="AL16" s="208">
        <f t="shared" si="35"/>
        <v>57.11750331302666</v>
      </c>
      <c r="AM16" s="208">
        <f t="shared" si="20"/>
        <v>718.98682349896922</v>
      </c>
      <c r="AN16" s="208">
        <f t="shared" si="36"/>
        <v>190.57608010044476</v>
      </c>
      <c r="AO16" s="208">
        <f t="shared" si="37"/>
        <v>134.64133098542385</v>
      </c>
      <c r="AP16" s="208">
        <f t="shared" si="38"/>
        <v>393.76941241310055</v>
      </c>
      <c r="AQ16" s="206">
        <v>0.43</v>
      </c>
      <c r="AR16" s="206">
        <v>0.43</v>
      </c>
      <c r="AS16" s="208">
        <f t="shared" si="21"/>
        <v>2490.8491652343541</v>
      </c>
      <c r="AT16" s="209">
        <f t="shared" si="39"/>
        <v>2388.7983265808971</v>
      </c>
      <c r="AU16" s="208">
        <f t="shared" si="40"/>
        <v>77.490312228855473</v>
      </c>
      <c r="AV16" s="208">
        <f t="shared" si="41"/>
        <v>24.560526424601463</v>
      </c>
      <c r="AW16" s="208">
        <f t="shared" si="22"/>
        <v>309.1643341045567</v>
      </c>
      <c r="AX16" s="209">
        <f t="shared" si="42"/>
        <v>81.947714443191245</v>
      </c>
      <c r="AY16" s="208">
        <f t="shared" si="43"/>
        <v>57.895772323732253</v>
      </c>
      <c r="AZ16" s="208">
        <f t="shared" si="44"/>
        <v>169.32084733763324</v>
      </c>
      <c r="BA16" s="206">
        <v>0.8</v>
      </c>
      <c r="BB16" s="210">
        <v>1.5</v>
      </c>
      <c r="BC16" s="208">
        <f t="shared" si="45"/>
        <v>164.8876448557636</v>
      </c>
      <c r="BD16" s="209">
        <f t="shared" si="46"/>
        <v>43.705447703035333</v>
      </c>
      <c r="BE16" s="208">
        <f t="shared" si="47"/>
        <v>30.877745239323872</v>
      </c>
      <c r="BF16" s="208">
        <f t="shared" si="48"/>
        <v>90.304451913404407</v>
      </c>
      <c r="BG16" s="208">
        <f t="shared" si="49"/>
        <v>554.09917864320551</v>
      </c>
      <c r="BH16" s="209">
        <f t="shared" si="50"/>
        <v>146.87063239740942</v>
      </c>
      <c r="BI16" s="208">
        <f t="shared" si="51"/>
        <v>103.76358574609998</v>
      </c>
      <c r="BJ16" s="208">
        <f t="shared" si="52"/>
        <v>303.46496049969613</v>
      </c>
      <c r="BK16" s="208">
        <f t="shared" si="5"/>
        <v>718.9868234989691</v>
      </c>
      <c r="BL16" s="209">
        <f t="shared" si="23"/>
        <v>554.09917864320551</v>
      </c>
      <c r="BM16" s="211">
        <f t="shared" si="6"/>
        <v>164.8876448557636</v>
      </c>
      <c r="BN16" s="11"/>
      <c r="BO16" s="11"/>
      <c r="BP16" s="10"/>
    </row>
    <row r="17" spans="1:68" x14ac:dyDescent="0.25">
      <c r="A17" s="131" t="s">
        <v>14</v>
      </c>
      <c r="B17" s="64">
        <f t="shared" si="7"/>
        <v>57115.635926611641</v>
      </c>
      <c r="C17" s="64">
        <f>'5.1.3 Przeds. niefinansowe'!V18</f>
        <v>55445.64910856865</v>
      </c>
      <c r="D17" s="64">
        <f>'5.1.3 Przeds. niefinansowe'!W18</f>
        <v>1318.0501599414922</v>
      </c>
      <c r="E17" s="64">
        <f>'5.1.3 Przeds. niefinansowe'!X18</f>
        <v>351.93665810149929</v>
      </c>
      <c r="F17" s="206">
        <f t="shared" si="24"/>
        <v>0.70645000000000002</v>
      </c>
      <c r="G17" s="206">
        <f t="shared" si="25"/>
        <v>0.67645</v>
      </c>
      <c r="H17" s="206">
        <f t="shared" si="26"/>
        <v>0.82385000000000008</v>
      </c>
      <c r="I17" s="212">
        <f t="shared" si="27"/>
        <v>0.79385000000000006</v>
      </c>
      <c r="J17" s="212">
        <f t="shared" si="28"/>
        <v>0.92180000000000006</v>
      </c>
      <c r="K17" s="212">
        <f t="shared" si="29"/>
        <v>0.89180000000000004</v>
      </c>
      <c r="L17" s="69">
        <f t="shared" si="9"/>
        <v>38866.400570655736</v>
      </c>
      <c r="M17" s="69">
        <f t="shared" si="10"/>
        <v>37506.209339491266</v>
      </c>
      <c r="N17" s="69">
        <f t="shared" si="11"/>
        <v>1046.3341194695536</v>
      </c>
      <c r="O17" s="69">
        <f t="shared" si="12"/>
        <v>313.85711169491708</v>
      </c>
      <c r="P17" s="69">
        <f t="shared" si="13"/>
        <v>3414203.0049892268</v>
      </c>
      <c r="Q17" s="69">
        <f>'5.1.1 Nakłady_razem'!BL15</f>
        <v>1336900.1616827308</v>
      </c>
      <c r="R17" s="69">
        <f>'5.1.1 Nakłady_razem'!BM15</f>
        <v>809596.67665468797</v>
      </c>
      <c r="S17" s="69">
        <f>'5.1.1 Nakłady_razem'!BN15</f>
        <v>1267706.1666518082</v>
      </c>
      <c r="T17" s="207">
        <f t="shared" si="0"/>
        <v>35.644768832319016</v>
      </c>
      <c r="U17" s="207">
        <f t="shared" si="1"/>
        <v>773.74584426733463</v>
      </c>
      <c r="V17" s="207">
        <f t="shared" si="2"/>
        <v>4039.1188200446913</v>
      </c>
      <c r="W17" s="206">
        <v>0.18</v>
      </c>
      <c r="X17" s="206">
        <v>0.17</v>
      </c>
      <c r="Y17" s="70">
        <f t="shared" si="14"/>
        <v>6607.2880970114757</v>
      </c>
      <c r="Z17" s="69">
        <f t="shared" si="15"/>
        <v>6376.0555877135157</v>
      </c>
      <c r="AA17" s="70">
        <f t="shared" si="16"/>
        <v>177.87680030982412</v>
      </c>
      <c r="AB17" s="70">
        <f t="shared" si="17"/>
        <v>53.355708988135909</v>
      </c>
      <c r="AC17" s="208">
        <f t="shared" si="18"/>
        <v>580.41451084816867</v>
      </c>
      <c r="AD17" s="209">
        <f t="shared" si="30"/>
        <v>227.27302748606425</v>
      </c>
      <c r="AE17" s="208">
        <f t="shared" si="31"/>
        <v>137.63143503129695</v>
      </c>
      <c r="AF17" s="208">
        <f t="shared" si="32"/>
        <v>215.51004833080745</v>
      </c>
      <c r="AG17" s="206">
        <v>0.15</v>
      </c>
      <c r="AH17" s="206">
        <v>0.2</v>
      </c>
      <c r="AI17" s="208">
        <f t="shared" si="19"/>
        <v>1321.4576194022952</v>
      </c>
      <c r="AJ17" s="208">
        <f t="shared" si="33"/>
        <v>1275.2111175427033</v>
      </c>
      <c r="AK17" s="208">
        <f t="shared" si="34"/>
        <v>35.575360061964822</v>
      </c>
      <c r="AL17" s="208">
        <f t="shared" si="35"/>
        <v>10.671141797627183</v>
      </c>
      <c r="AM17" s="208">
        <f t="shared" si="20"/>
        <v>116.08290216963374</v>
      </c>
      <c r="AN17" s="208">
        <f t="shared" si="36"/>
        <v>45.454605497212853</v>
      </c>
      <c r="AO17" s="208">
        <f t="shared" si="37"/>
        <v>27.526287006259391</v>
      </c>
      <c r="AP17" s="208">
        <f t="shared" si="38"/>
        <v>43.102009666161493</v>
      </c>
      <c r="AQ17" s="206">
        <v>0.43</v>
      </c>
      <c r="AR17" s="206">
        <v>0.43</v>
      </c>
      <c r="AS17" s="208">
        <f t="shared" si="21"/>
        <v>568.22677634298691</v>
      </c>
      <c r="AT17" s="209">
        <f t="shared" si="39"/>
        <v>548.34078054336237</v>
      </c>
      <c r="AU17" s="208">
        <f t="shared" si="40"/>
        <v>15.297404826644874</v>
      </c>
      <c r="AV17" s="208">
        <f t="shared" si="41"/>
        <v>4.5885909729796888</v>
      </c>
      <c r="AW17" s="208">
        <f t="shared" si="22"/>
        <v>49.915647932942505</v>
      </c>
      <c r="AX17" s="209">
        <f t="shared" si="42"/>
        <v>19.545480363801527</v>
      </c>
      <c r="AY17" s="208">
        <f t="shared" si="43"/>
        <v>11.836303412691537</v>
      </c>
      <c r="AZ17" s="208">
        <f t="shared" si="44"/>
        <v>18.533864156449443</v>
      </c>
      <c r="BA17" s="206">
        <v>0.8</v>
      </c>
      <c r="BB17" s="210">
        <v>1.5</v>
      </c>
      <c r="BC17" s="208">
        <f t="shared" si="45"/>
        <v>26.621678897569339</v>
      </c>
      <c r="BD17" s="209">
        <f t="shared" si="46"/>
        <v>10.424256194027482</v>
      </c>
      <c r="BE17" s="208">
        <f t="shared" si="47"/>
        <v>6.3126951534354871</v>
      </c>
      <c r="BF17" s="208">
        <f t="shared" si="48"/>
        <v>9.8847275501063709</v>
      </c>
      <c r="BG17" s="208">
        <f t="shared" si="49"/>
        <v>89.461223272064402</v>
      </c>
      <c r="BH17" s="209">
        <f t="shared" si="50"/>
        <v>35.030349303185375</v>
      </c>
      <c r="BI17" s="208">
        <f t="shared" si="51"/>
        <v>21.213591852823903</v>
      </c>
      <c r="BJ17" s="208">
        <f t="shared" si="52"/>
        <v>33.217282116055124</v>
      </c>
      <c r="BK17" s="208">
        <f t="shared" si="5"/>
        <v>116.08290216963374</v>
      </c>
      <c r="BL17" s="209">
        <f t="shared" si="23"/>
        <v>89.461223272064402</v>
      </c>
      <c r="BM17" s="211">
        <f t="shared" si="6"/>
        <v>26.621678897569339</v>
      </c>
      <c r="BN17" s="11"/>
      <c r="BO17" s="11"/>
      <c r="BP17" s="10"/>
    </row>
    <row r="18" spans="1:68" x14ac:dyDescent="0.25">
      <c r="A18" s="131" t="s">
        <v>15</v>
      </c>
      <c r="B18" s="64">
        <f t="shared" si="7"/>
        <v>65080.279392683689</v>
      </c>
      <c r="C18" s="64">
        <f>'5.1.3 Przeds. niefinansowe'!V19</f>
        <v>63274.082746425745</v>
      </c>
      <c r="D18" s="64">
        <f>'5.1.3 Przeds. niefinansowe'!W19</f>
        <v>1376.6508924675245</v>
      </c>
      <c r="E18" s="64">
        <f>'5.1.3 Przeds. niefinansowe'!X19</f>
        <v>429.54575379042217</v>
      </c>
      <c r="F18" s="206">
        <f t="shared" si="24"/>
        <v>0.70645000000000002</v>
      </c>
      <c r="G18" s="206">
        <f t="shared" si="25"/>
        <v>0.67645</v>
      </c>
      <c r="H18" s="206">
        <f t="shared" si="26"/>
        <v>0.82385000000000008</v>
      </c>
      <c r="I18" s="212">
        <f t="shared" si="27"/>
        <v>0.79385000000000006</v>
      </c>
      <c r="J18" s="212">
        <f t="shared" si="28"/>
        <v>0.92180000000000006</v>
      </c>
      <c r="K18" s="212">
        <f t="shared" si="29"/>
        <v>0.89180000000000004</v>
      </c>
      <c r="L18" s="69">
        <f t="shared" si="9"/>
        <v>44277.676488035337</v>
      </c>
      <c r="M18" s="69">
        <f t="shared" si="10"/>
        <v>42801.753273819697</v>
      </c>
      <c r="N18" s="69">
        <f t="shared" si="11"/>
        <v>1092.8543109853445</v>
      </c>
      <c r="O18" s="69">
        <f t="shared" si="12"/>
        <v>383.06890323029853</v>
      </c>
      <c r="P18" s="69">
        <f t="shared" si="13"/>
        <v>4088727.2515169606</v>
      </c>
      <c r="Q18" s="69">
        <f>'5.1.1 Nakłady_razem'!BL16</f>
        <v>1441092.817367424</v>
      </c>
      <c r="R18" s="69">
        <f>'5.1.1 Nakłady_razem'!BM16</f>
        <v>911521.59142914135</v>
      </c>
      <c r="S18" s="69">
        <f>'5.1.1 Nakłady_razem'!BN16</f>
        <v>1736112.8427203947</v>
      </c>
      <c r="T18" s="207">
        <f t="shared" si="0"/>
        <v>33.66901370016749</v>
      </c>
      <c r="U18" s="207">
        <f t="shared" si="1"/>
        <v>834.07420574412254</v>
      </c>
      <c r="V18" s="207">
        <f t="shared" si="2"/>
        <v>4532.1163583895886</v>
      </c>
      <c r="W18" s="206">
        <v>0.18</v>
      </c>
      <c r="X18" s="206">
        <v>0.17</v>
      </c>
      <c r="Y18" s="70">
        <f t="shared" si="14"/>
        <v>7527.2050029660086</v>
      </c>
      <c r="Z18" s="69">
        <f t="shared" si="15"/>
        <v>7276.298056549349</v>
      </c>
      <c r="AA18" s="70">
        <f t="shared" si="16"/>
        <v>185.78523286750857</v>
      </c>
      <c r="AB18" s="70">
        <f t="shared" si="17"/>
        <v>65.121713549150755</v>
      </c>
      <c r="AC18" s="208">
        <f t="shared" si="18"/>
        <v>695.08363275788315</v>
      </c>
      <c r="AD18" s="209">
        <f t="shared" si="30"/>
        <v>244.98577895246211</v>
      </c>
      <c r="AE18" s="208">
        <f t="shared" si="31"/>
        <v>154.95867054295405</v>
      </c>
      <c r="AF18" s="208">
        <f t="shared" si="32"/>
        <v>295.13918326246704</v>
      </c>
      <c r="AG18" s="206">
        <v>0.15</v>
      </c>
      <c r="AH18" s="206">
        <v>0.2</v>
      </c>
      <c r="AI18" s="208">
        <f t="shared" si="19"/>
        <v>1505.4410005932016</v>
      </c>
      <c r="AJ18" s="208">
        <f t="shared" si="33"/>
        <v>1455.2596113098698</v>
      </c>
      <c r="AK18" s="208">
        <f t="shared" si="34"/>
        <v>37.157046573501717</v>
      </c>
      <c r="AL18" s="208">
        <f t="shared" si="35"/>
        <v>13.024342709830151</v>
      </c>
      <c r="AM18" s="208">
        <f t="shared" si="20"/>
        <v>139.01672655157665</v>
      </c>
      <c r="AN18" s="208">
        <f t="shared" si="36"/>
        <v>48.997155790492421</v>
      </c>
      <c r="AO18" s="208">
        <f t="shared" si="37"/>
        <v>30.991734108590816</v>
      </c>
      <c r="AP18" s="208">
        <f t="shared" si="38"/>
        <v>59.027836652493413</v>
      </c>
      <c r="AQ18" s="206">
        <v>0.43</v>
      </c>
      <c r="AR18" s="206">
        <v>0.43</v>
      </c>
      <c r="AS18" s="208">
        <f t="shared" si="21"/>
        <v>647.33963025507683</v>
      </c>
      <c r="AT18" s="209">
        <f t="shared" si="39"/>
        <v>625.76163286324402</v>
      </c>
      <c r="AU18" s="208">
        <f t="shared" si="40"/>
        <v>15.977530026605738</v>
      </c>
      <c r="AV18" s="208">
        <f t="shared" si="41"/>
        <v>5.6004673652269652</v>
      </c>
      <c r="AW18" s="208">
        <f t="shared" si="22"/>
        <v>59.777192417177957</v>
      </c>
      <c r="AX18" s="209">
        <f t="shared" si="42"/>
        <v>21.06877698991174</v>
      </c>
      <c r="AY18" s="208">
        <f t="shared" si="43"/>
        <v>13.326445666694049</v>
      </c>
      <c r="AZ18" s="208">
        <f t="shared" si="44"/>
        <v>25.381969760572165</v>
      </c>
      <c r="BA18" s="206">
        <v>0.8</v>
      </c>
      <c r="BB18" s="210">
        <v>1.5</v>
      </c>
      <c r="BC18" s="208">
        <f t="shared" si="45"/>
        <v>31.881169289161576</v>
      </c>
      <c r="BD18" s="209">
        <f t="shared" si="46"/>
        <v>11.236681061286262</v>
      </c>
      <c r="BE18" s="208">
        <f t="shared" si="47"/>
        <v>7.1074376889034925</v>
      </c>
      <c r="BF18" s="208">
        <f t="shared" si="48"/>
        <v>13.537050538971821</v>
      </c>
      <c r="BG18" s="208">
        <f t="shared" si="49"/>
        <v>107.13555726241508</v>
      </c>
      <c r="BH18" s="209">
        <f t="shared" si="50"/>
        <v>37.760474729206159</v>
      </c>
      <c r="BI18" s="208">
        <f t="shared" si="51"/>
        <v>23.884296419687324</v>
      </c>
      <c r="BJ18" s="208">
        <f t="shared" si="52"/>
        <v>45.490786113521594</v>
      </c>
      <c r="BK18" s="208">
        <f t="shared" si="5"/>
        <v>139.01672655157665</v>
      </c>
      <c r="BL18" s="209">
        <f t="shared" si="23"/>
        <v>107.13555726241508</v>
      </c>
      <c r="BM18" s="211">
        <f t="shared" si="6"/>
        <v>31.881169289161576</v>
      </c>
      <c r="BN18" s="11"/>
      <c r="BO18" s="11"/>
      <c r="BP18" s="10"/>
    </row>
    <row r="19" spans="1:68" x14ac:dyDescent="0.25">
      <c r="A19" s="131" t="s">
        <v>16</v>
      </c>
      <c r="B19" s="64">
        <f t="shared" si="7"/>
        <v>240309.43487970656</v>
      </c>
      <c r="C19" s="64">
        <f>'5.1.3 Przeds. niefinansowe'!V20</f>
        <v>233135.00036557156</v>
      </c>
      <c r="D19" s="64">
        <f>'5.1.3 Przeds. niefinansowe'!W20</f>
        <v>5520.8451731927071</v>
      </c>
      <c r="E19" s="64">
        <f>'5.1.3 Przeds. niefinansowe'!X20</f>
        <v>1653.5893409423088</v>
      </c>
      <c r="F19" s="206">
        <f t="shared" si="24"/>
        <v>0.70645000000000002</v>
      </c>
      <c r="G19" s="206">
        <f t="shared" si="25"/>
        <v>0.67645</v>
      </c>
      <c r="H19" s="206">
        <f t="shared" si="26"/>
        <v>0.82385000000000008</v>
      </c>
      <c r="I19" s="212">
        <f t="shared" si="27"/>
        <v>0.79385000000000006</v>
      </c>
      <c r="J19" s="212">
        <f t="shared" si="28"/>
        <v>0.92180000000000006</v>
      </c>
      <c r="K19" s="212">
        <f t="shared" si="29"/>
        <v>0.89180000000000004</v>
      </c>
      <c r="L19" s="69">
        <f t="shared" si="9"/>
        <v>163561.56491228225</v>
      </c>
      <c r="M19" s="69">
        <f t="shared" si="10"/>
        <v>157704.17099729087</v>
      </c>
      <c r="N19" s="69">
        <f t="shared" si="11"/>
        <v>4382.7229407390305</v>
      </c>
      <c r="O19" s="69">
        <f t="shared" si="12"/>
        <v>1474.670974252351</v>
      </c>
      <c r="P19" s="69">
        <f t="shared" si="13"/>
        <v>19477943.719774455</v>
      </c>
      <c r="Q19" s="69">
        <f>'5.1.1 Nakłady_razem'!BL17</f>
        <v>8379946.0099851945</v>
      </c>
      <c r="R19" s="69">
        <f>'5.1.1 Nakłady_razem'!BM17</f>
        <v>3932212.5633035097</v>
      </c>
      <c r="S19" s="69">
        <f>'5.1.1 Nakłady_razem'!BN17</f>
        <v>7165785.1464857496</v>
      </c>
      <c r="T19" s="207">
        <f t="shared" si="0"/>
        <v>53.137123495162022</v>
      </c>
      <c r="U19" s="207">
        <f t="shared" si="1"/>
        <v>897.20765297576531</v>
      </c>
      <c r="V19" s="207">
        <f t="shared" si="2"/>
        <v>4859.2433645198425</v>
      </c>
      <c r="W19" s="206">
        <v>0.18</v>
      </c>
      <c r="X19" s="206">
        <v>0.17</v>
      </c>
      <c r="Y19" s="70">
        <f t="shared" si="14"/>
        <v>27805.466035087986</v>
      </c>
      <c r="Z19" s="69">
        <f t="shared" si="15"/>
        <v>26809.709069539451</v>
      </c>
      <c r="AA19" s="70">
        <f t="shared" si="16"/>
        <v>745.06289992563529</v>
      </c>
      <c r="AB19" s="70">
        <f t="shared" si="17"/>
        <v>250.6940656228997</v>
      </c>
      <c r="AC19" s="208">
        <f t="shared" si="18"/>
        <v>3311.2504323616567</v>
      </c>
      <c r="AD19" s="209">
        <f t="shared" si="30"/>
        <v>1424.5908216974831</v>
      </c>
      <c r="AE19" s="208">
        <f t="shared" si="31"/>
        <v>668.47613576159677</v>
      </c>
      <c r="AF19" s="208">
        <f t="shared" si="32"/>
        <v>1218.1834749025772</v>
      </c>
      <c r="AG19" s="206">
        <v>0.15</v>
      </c>
      <c r="AH19" s="206">
        <v>0.2</v>
      </c>
      <c r="AI19" s="208">
        <f t="shared" si="19"/>
        <v>5561.0932070175977</v>
      </c>
      <c r="AJ19" s="208">
        <f t="shared" si="33"/>
        <v>5361.9418139078907</v>
      </c>
      <c r="AK19" s="208">
        <f t="shared" si="34"/>
        <v>149.01257998512708</v>
      </c>
      <c r="AL19" s="208">
        <f t="shared" si="35"/>
        <v>50.13881312457994</v>
      </c>
      <c r="AM19" s="208">
        <f t="shared" si="20"/>
        <v>662.25008647233153</v>
      </c>
      <c r="AN19" s="208">
        <f t="shared" si="36"/>
        <v>284.91816433949663</v>
      </c>
      <c r="AO19" s="208">
        <f t="shared" si="37"/>
        <v>133.69522715231938</v>
      </c>
      <c r="AP19" s="208">
        <f t="shared" si="38"/>
        <v>243.63669498051547</v>
      </c>
      <c r="AQ19" s="206">
        <v>0.43</v>
      </c>
      <c r="AR19" s="206">
        <v>0.43</v>
      </c>
      <c r="AS19" s="208">
        <f t="shared" si="21"/>
        <v>2391.2700790175672</v>
      </c>
      <c r="AT19" s="209">
        <f t="shared" si="39"/>
        <v>2305.6349799803929</v>
      </c>
      <c r="AU19" s="208">
        <f t="shared" si="40"/>
        <v>64.075409393604644</v>
      </c>
      <c r="AV19" s="208">
        <f t="shared" si="41"/>
        <v>21.559689643569374</v>
      </c>
      <c r="AW19" s="208">
        <f t="shared" si="22"/>
        <v>284.76753718310249</v>
      </c>
      <c r="AX19" s="209">
        <f t="shared" si="42"/>
        <v>122.51481066598356</v>
      </c>
      <c r="AY19" s="208">
        <f t="shared" si="43"/>
        <v>57.488947675497329</v>
      </c>
      <c r="AZ19" s="208">
        <f t="shared" si="44"/>
        <v>104.76377884162164</v>
      </c>
      <c r="BA19" s="206">
        <v>0.8</v>
      </c>
      <c r="BB19" s="210">
        <v>1.5</v>
      </c>
      <c r="BC19" s="208">
        <f t="shared" si="45"/>
        <v>151.87601983098804</v>
      </c>
      <c r="BD19" s="209">
        <f t="shared" si="46"/>
        <v>65.341232355191238</v>
      </c>
      <c r="BE19" s="208">
        <f t="shared" si="47"/>
        <v>30.660772093598577</v>
      </c>
      <c r="BF19" s="208">
        <f t="shared" si="48"/>
        <v>55.874015382198216</v>
      </c>
      <c r="BG19" s="208">
        <f t="shared" si="49"/>
        <v>510.37406664134346</v>
      </c>
      <c r="BH19" s="209">
        <f t="shared" si="50"/>
        <v>219.57693198430539</v>
      </c>
      <c r="BI19" s="208">
        <f t="shared" si="51"/>
        <v>103.03445505872079</v>
      </c>
      <c r="BJ19" s="208">
        <f t="shared" si="52"/>
        <v>187.76267959831725</v>
      </c>
      <c r="BK19" s="208">
        <f t="shared" si="5"/>
        <v>662.25008647233153</v>
      </c>
      <c r="BL19" s="209">
        <f t="shared" si="23"/>
        <v>510.37406664134346</v>
      </c>
      <c r="BM19" s="211">
        <f t="shared" si="6"/>
        <v>151.87601983098804</v>
      </c>
      <c r="BN19" s="11"/>
      <c r="BO19" s="11"/>
      <c r="BP19" s="10"/>
    </row>
    <row r="20" spans="1:68" x14ac:dyDescent="0.25">
      <c r="A20" s="134" t="s">
        <v>17</v>
      </c>
      <c r="B20" s="213">
        <f t="shared" si="7"/>
        <v>110515.8723831884</v>
      </c>
      <c r="C20" s="213">
        <f>'5.1.3 Przeds. niefinansowe'!V21</f>
        <v>108026.34772530376</v>
      </c>
      <c r="D20" s="213">
        <f>'5.1.3 Przeds. niefinansowe'!W21</f>
        <v>1922.1930952158987</v>
      </c>
      <c r="E20" s="213">
        <f>'5.1.3 Przeds. niefinansowe'!X21</f>
        <v>567.33156266873743</v>
      </c>
      <c r="F20" s="206">
        <f t="shared" si="24"/>
        <v>0.70645000000000002</v>
      </c>
      <c r="G20" s="206">
        <f t="shared" si="25"/>
        <v>0.67645</v>
      </c>
      <c r="H20" s="206">
        <f t="shared" si="26"/>
        <v>0.82385000000000008</v>
      </c>
      <c r="I20" s="212">
        <f t="shared" si="27"/>
        <v>0.79385000000000006</v>
      </c>
      <c r="J20" s="212">
        <f t="shared" si="28"/>
        <v>0.92180000000000006</v>
      </c>
      <c r="K20" s="212">
        <f t="shared" si="29"/>
        <v>0.89180000000000004</v>
      </c>
      <c r="L20" s="52">
        <f t="shared" si="9"/>
        <v>75106.302195006851</v>
      </c>
      <c r="M20" s="52">
        <f t="shared" si="10"/>
        <v>73074.422918781725</v>
      </c>
      <c r="N20" s="52">
        <f t="shared" si="11"/>
        <v>1525.9329886371413</v>
      </c>
      <c r="O20" s="52">
        <f t="shared" si="12"/>
        <v>505.94628758798007</v>
      </c>
      <c r="P20" s="52">
        <f t="shared" si="13"/>
        <v>8112106.2158912541</v>
      </c>
      <c r="Q20" s="52">
        <f>'5.1.1 Nakłady_razem'!BL18</f>
        <v>3650441.5320788482</v>
      </c>
      <c r="R20" s="52">
        <f>'5.1.1 Nakłady_razem'!BM18</f>
        <v>1575717.6926196162</v>
      </c>
      <c r="S20" s="52">
        <f>'5.1.1 Nakłady_razem'!BN18</f>
        <v>2885946.9911927897</v>
      </c>
      <c r="T20" s="214">
        <f t="shared" si="0"/>
        <v>49.955119538010138</v>
      </c>
      <c r="U20" s="214">
        <f t="shared" si="1"/>
        <v>1032.625747233461</v>
      </c>
      <c r="V20" s="214">
        <f t="shared" si="2"/>
        <v>5704.0580432976221</v>
      </c>
      <c r="W20" s="206">
        <v>0.18</v>
      </c>
      <c r="X20" s="206">
        <v>0.17</v>
      </c>
      <c r="Y20" s="215">
        <f t="shared" si="14"/>
        <v>12768.071373151164</v>
      </c>
      <c r="Z20" s="52">
        <f t="shared" si="15"/>
        <v>12422.651896192894</v>
      </c>
      <c r="AA20" s="215">
        <f t="shared" si="16"/>
        <v>259.40860806831404</v>
      </c>
      <c r="AB20" s="215">
        <f t="shared" si="17"/>
        <v>86.010868889956612</v>
      </c>
      <c r="AC20" s="216">
        <f t="shared" si="18"/>
        <v>1379.0580567015134</v>
      </c>
      <c r="AD20" s="217">
        <f t="shared" si="30"/>
        <v>620.57506045340438</v>
      </c>
      <c r="AE20" s="216">
        <f t="shared" si="31"/>
        <v>267.87200774533483</v>
      </c>
      <c r="AF20" s="216">
        <f t="shared" si="32"/>
        <v>490.61098850277421</v>
      </c>
      <c r="AG20" s="206">
        <v>0.15</v>
      </c>
      <c r="AH20" s="206">
        <v>0.2</v>
      </c>
      <c r="AI20" s="216">
        <f t="shared" si="19"/>
        <v>2553.614274630233</v>
      </c>
      <c r="AJ20" s="216">
        <f t="shared" si="33"/>
        <v>2484.5303792385789</v>
      </c>
      <c r="AK20" s="216">
        <f t="shared" si="34"/>
        <v>51.881721613662812</v>
      </c>
      <c r="AL20" s="216">
        <f t="shared" si="35"/>
        <v>17.202173777991323</v>
      </c>
      <c r="AM20" s="216">
        <f t="shared" si="20"/>
        <v>275.8116113403027</v>
      </c>
      <c r="AN20" s="216">
        <f t="shared" si="36"/>
        <v>124.11501209068088</v>
      </c>
      <c r="AO20" s="216">
        <f t="shared" si="37"/>
        <v>53.574401549066963</v>
      </c>
      <c r="AP20" s="216">
        <f t="shared" si="38"/>
        <v>98.12219770055485</v>
      </c>
      <c r="AQ20" s="206">
        <v>0.43</v>
      </c>
      <c r="AR20" s="206">
        <v>0.43</v>
      </c>
      <c r="AS20" s="216">
        <f t="shared" si="21"/>
        <v>1098.0541380910004</v>
      </c>
      <c r="AT20" s="217">
        <f t="shared" si="39"/>
        <v>1068.348063072589</v>
      </c>
      <c r="AU20" s="216">
        <f t="shared" si="40"/>
        <v>22.309140293875007</v>
      </c>
      <c r="AV20" s="216">
        <f t="shared" si="41"/>
        <v>7.3969347245362691</v>
      </c>
      <c r="AW20" s="216">
        <f t="shared" si="22"/>
        <v>118.59899287633016</v>
      </c>
      <c r="AX20" s="217">
        <f t="shared" si="42"/>
        <v>53.369455198992782</v>
      </c>
      <c r="AY20" s="216">
        <f t="shared" si="43"/>
        <v>23.03699266609879</v>
      </c>
      <c r="AZ20" s="216">
        <f t="shared" si="44"/>
        <v>42.192545011238586</v>
      </c>
      <c r="BA20" s="206">
        <v>0.8</v>
      </c>
      <c r="BB20" s="210">
        <v>1.5</v>
      </c>
      <c r="BC20" s="216">
        <f t="shared" si="45"/>
        <v>63.252796200709426</v>
      </c>
      <c r="BD20" s="217">
        <f t="shared" si="46"/>
        <v>28.463709439462818</v>
      </c>
      <c r="BE20" s="216">
        <f t="shared" si="47"/>
        <v>12.286396088586022</v>
      </c>
      <c r="BF20" s="216">
        <f t="shared" si="48"/>
        <v>22.502690672660581</v>
      </c>
      <c r="BG20" s="216">
        <f t="shared" si="49"/>
        <v>212.55881513959326</v>
      </c>
      <c r="BH20" s="217">
        <f t="shared" si="50"/>
        <v>95.65130265121806</v>
      </c>
      <c r="BI20" s="216">
        <f t="shared" si="51"/>
        <v>41.288005460480939</v>
      </c>
      <c r="BJ20" s="216">
        <f t="shared" si="52"/>
        <v>75.619507027894272</v>
      </c>
      <c r="BK20" s="216">
        <f t="shared" si="5"/>
        <v>275.8116113403027</v>
      </c>
      <c r="BL20" s="217">
        <f t="shared" si="23"/>
        <v>212.55881513959326</v>
      </c>
      <c r="BM20" s="218">
        <f t="shared" si="6"/>
        <v>63.252796200709426</v>
      </c>
      <c r="BN20" s="11"/>
      <c r="BO20" s="11"/>
      <c r="BP20" s="10"/>
    </row>
    <row r="23" spans="1:68" x14ac:dyDescent="0.25">
      <c r="A23" s="268" t="s">
        <v>418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1"/>
    </row>
    <row r="25" spans="1:68" x14ac:dyDescent="0.25">
      <c r="A25" s="268" t="s">
        <v>419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269"/>
      <c r="N25" s="269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1"/>
    </row>
    <row r="27" spans="1:68" x14ac:dyDescent="0.25">
      <c r="A27" s="268" t="s">
        <v>420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1"/>
    </row>
    <row r="29" spans="1:68" x14ac:dyDescent="0.25">
      <c r="A29" s="268" t="s">
        <v>421</v>
      </c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1"/>
    </row>
    <row r="31" spans="1:68" x14ac:dyDescent="0.25">
      <c r="A31" s="268" t="s">
        <v>422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1"/>
    </row>
    <row r="33" spans="1:65" x14ac:dyDescent="0.25">
      <c r="A33" s="268" t="s">
        <v>423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1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"/>
  <sheetViews>
    <sheetView zoomScale="90" zoomScaleNormal="90" workbookViewId="0">
      <pane xSplit="1" topLeftCell="B1" activePane="topRight" state="frozen"/>
      <selection pane="topRight" activeCell="B16" sqref="B16"/>
    </sheetView>
  </sheetViews>
  <sheetFormatPr defaultRowHeight="15" x14ac:dyDescent="0.25"/>
  <cols>
    <col min="1" max="1" width="16.140625" customWidth="1"/>
    <col min="2" max="2" width="25.140625" customWidth="1"/>
    <col min="3" max="5" width="11.85546875" customWidth="1"/>
    <col min="6" max="6" width="17.28515625" customWidth="1"/>
    <col min="7" max="7" width="27.5703125" customWidth="1"/>
    <col min="8" max="10" width="11.85546875" customWidth="1"/>
    <col min="11" max="11" width="16.28515625" style="3" customWidth="1"/>
    <col min="12" max="12" width="23" customWidth="1"/>
    <col min="13" max="14" width="12.28515625" customWidth="1"/>
    <col min="15" max="15" width="13.140625" customWidth="1"/>
    <col min="16" max="16" width="17.140625" customWidth="1"/>
    <col min="17" max="17" width="12.5703125" customWidth="1"/>
    <col min="18" max="18" width="15" customWidth="1"/>
    <col min="19" max="19" width="21.140625" customWidth="1"/>
    <col min="20" max="22" width="13" customWidth="1"/>
    <col min="23" max="23" width="20.85546875" customWidth="1"/>
    <col min="24" max="26" width="13" customWidth="1"/>
    <col min="27" max="27" width="26.140625" customWidth="1"/>
    <col min="28" max="30" width="13" customWidth="1"/>
    <col min="32" max="32" width="10.7109375" customWidth="1"/>
  </cols>
  <sheetData>
    <row r="1" spans="1:32" ht="60.75" customHeight="1" x14ac:dyDescent="0.25">
      <c r="A1" s="225" t="s">
        <v>128</v>
      </c>
      <c r="B1" s="225" t="s">
        <v>149</v>
      </c>
      <c r="C1" s="225" t="s">
        <v>20</v>
      </c>
      <c r="D1" s="225" t="s">
        <v>21</v>
      </c>
      <c r="E1" s="225" t="s">
        <v>22</v>
      </c>
      <c r="F1" s="225" t="s">
        <v>148</v>
      </c>
      <c r="G1" s="225" t="s">
        <v>158</v>
      </c>
      <c r="H1" s="225" t="s">
        <v>204</v>
      </c>
      <c r="I1" s="225" t="s">
        <v>205</v>
      </c>
      <c r="J1" s="225" t="s">
        <v>206</v>
      </c>
      <c r="K1" s="225" t="s">
        <v>150</v>
      </c>
      <c r="L1" s="83" t="s">
        <v>157</v>
      </c>
      <c r="M1" s="83" t="s">
        <v>210</v>
      </c>
      <c r="N1" s="83" t="s">
        <v>211</v>
      </c>
      <c r="O1" s="83" t="s">
        <v>212</v>
      </c>
      <c r="P1" s="83" t="s">
        <v>151</v>
      </c>
      <c r="Q1" s="83" t="s">
        <v>152</v>
      </c>
      <c r="R1" s="83" t="s">
        <v>138</v>
      </c>
      <c r="S1" s="83" t="s">
        <v>155</v>
      </c>
      <c r="T1" s="83" t="s">
        <v>216</v>
      </c>
      <c r="U1" s="83" t="s">
        <v>217</v>
      </c>
      <c r="V1" s="83" t="s">
        <v>218</v>
      </c>
      <c r="W1" s="83" t="s">
        <v>156</v>
      </c>
      <c r="X1" s="83" t="s">
        <v>222</v>
      </c>
      <c r="Y1" s="83" t="s">
        <v>223</v>
      </c>
      <c r="Z1" s="83" t="s">
        <v>224</v>
      </c>
      <c r="AA1" s="83" t="s">
        <v>398</v>
      </c>
      <c r="AB1" s="83" t="s">
        <v>228</v>
      </c>
      <c r="AC1" s="83" t="s">
        <v>229</v>
      </c>
      <c r="AD1" s="83" t="s">
        <v>230</v>
      </c>
    </row>
    <row r="2" spans="1:32" x14ac:dyDescent="0.25">
      <c r="A2" s="246"/>
      <c r="B2" s="247" t="s">
        <v>65</v>
      </c>
      <c r="C2" s="247" t="s">
        <v>20</v>
      </c>
      <c r="D2" s="247" t="s">
        <v>21</v>
      </c>
      <c r="E2" s="247" t="s">
        <v>22</v>
      </c>
      <c r="F2" s="247"/>
      <c r="G2" s="247" t="s">
        <v>65</v>
      </c>
      <c r="H2" s="247" t="s">
        <v>20</v>
      </c>
      <c r="I2" s="247" t="s">
        <v>21</v>
      </c>
      <c r="J2" s="248" t="s">
        <v>22</v>
      </c>
      <c r="K2" s="247"/>
      <c r="L2" s="249" t="s">
        <v>65</v>
      </c>
      <c r="M2" s="221" t="s">
        <v>20</v>
      </c>
      <c r="N2" s="221" t="s">
        <v>21</v>
      </c>
      <c r="O2" s="221" t="s">
        <v>22</v>
      </c>
      <c r="P2" s="221"/>
      <c r="Q2" s="221"/>
      <c r="R2" s="221"/>
      <c r="S2" s="221" t="s">
        <v>65</v>
      </c>
      <c r="T2" s="221" t="s">
        <v>20</v>
      </c>
      <c r="U2" s="221" t="s">
        <v>21</v>
      </c>
      <c r="V2" s="221" t="s">
        <v>22</v>
      </c>
      <c r="W2" s="221" t="s">
        <v>65</v>
      </c>
      <c r="X2" s="221" t="s">
        <v>20</v>
      </c>
      <c r="Y2" s="221" t="s">
        <v>21</v>
      </c>
      <c r="Z2" s="221" t="s">
        <v>22</v>
      </c>
      <c r="AA2" s="221" t="s">
        <v>65</v>
      </c>
      <c r="AB2" s="221" t="s">
        <v>20</v>
      </c>
      <c r="AC2" s="221" t="s">
        <v>21</v>
      </c>
      <c r="AD2" s="221" t="s">
        <v>22</v>
      </c>
    </row>
    <row r="3" spans="1:32" x14ac:dyDescent="0.25">
      <c r="A3" s="131">
        <v>2020</v>
      </c>
      <c r="B3" s="64">
        <f>SUM(C3:E3)</f>
        <v>187662.57604732487</v>
      </c>
      <c r="C3" s="64">
        <f>'5.1.1 Nakłady lata'!V2</f>
        <v>71211.834968161042</v>
      </c>
      <c r="D3" s="64">
        <f>'5.1.1 Nakłady lata'!W2</f>
        <v>36665.366319024346</v>
      </c>
      <c r="E3" s="64">
        <f>'5.1.1 Nakłady lata'!X2</f>
        <v>79785.374760139486</v>
      </c>
      <c r="F3" s="235">
        <v>0.17</v>
      </c>
      <c r="G3" s="236">
        <f>SUM(H3:J3)</f>
        <v>31902.637928045231</v>
      </c>
      <c r="H3" s="237">
        <f>C3*F3</f>
        <v>12106.011944587379</v>
      </c>
      <c r="I3" s="237">
        <f>D3*F3</f>
        <v>6233.1122742341395</v>
      </c>
      <c r="J3" s="238">
        <f>E3*F3</f>
        <v>13563.513709223713</v>
      </c>
      <c r="K3" s="239">
        <v>0.2</v>
      </c>
      <c r="L3" s="240">
        <f>SUM(M3:O3)</f>
        <v>6380.5275856090466</v>
      </c>
      <c r="M3" s="69">
        <f>H3*K3</f>
        <v>2421.2023889174757</v>
      </c>
      <c r="N3" s="69">
        <f>I3*K3</f>
        <v>1246.6224548468281</v>
      </c>
      <c r="O3" s="69">
        <f>J3*K3</f>
        <v>2712.7027418447428</v>
      </c>
      <c r="P3" s="239">
        <v>0.43</v>
      </c>
      <c r="Q3" s="239">
        <v>0.8</v>
      </c>
      <c r="R3" s="241">
        <v>1.5</v>
      </c>
      <c r="S3" s="69">
        <f>SUM(T3:V3)</f>
        <v>1463.267659633008</v>
      </c>
      <c r="T3" s="69">
        <f>(M3*P3*Q3)/R3</f>
        <v>555.2624145250744</v>
      </c>
      <c r="U3" s="69">
        <f>(N3*P3*Q3)/R3</f>
        <v>285.89208297820591</v>
      </c>
      <c r="V3" s="69">
        <f>(O3*P3*Q3)/R3</f>
        <v>622.1131621297277</v>
      </c>
      <c r="W3" s="69">
        <f>SUM(X3:Z3)</f>
        <v>4917.2599259760391</v>
      </c>
      <c r="X3" s="69">
        <f>M3-T3</f>
        <v>1865.9399743924014</v>
      </c>
      <c r="Y3" s="69">
        <f>N3-U3</f>
        <v>960.73037186862211</v>
      </c>
      <c r="Z3" s="69">
        <f>O3-V3</f>
        <v>2090.5895797150151</v>
      </c>
      <c r="AA3" s="69">
        <f>SUM(AB3:AD3)</f>
        <v>6380.5275856090466</v>
      </c>
      <c r="AB3" s="69">
        <f>T3+X3</f>
        <v>2421.2023889174757</v>
      </c>
      <c r="AC3" s="69">
        <f>U3+Y3</f>
        <v>1246.6224548468281</v>
      </c>
      <c r="AD3" s="69">
        <f>V3+Z3</f>
        <v>2712.7027418447428</v>
      </c>
      <c r="AF3" s="11"/>
    </row>
    <row r="4" spans="1:32" x14ac:dyDescent="0.25">
      <c r="A4" s="131">
        <v>2021</v>
      </c>
      <c r="B4" s="64">
        <f t="shared" ref="B4:B12" si="0">SUM(C4:E4)</f>
        <v>199266.9938602749</v>
      </c>
      <c r="C4" s="64">
        <f>'5.1.1 Nakłady lata'!V3</f>
        <v>75513.089864057227</v>
      </c>
      <c r="D4" s="64">
        <f>'5.1.1 Nakłady lata'!W3</f>
        <v>38963.373082117956</v>
      </c>
      <c r="E4" s="64">
        <f>'5.1.1 Nakłady lata'!X3</f>
        <v>84790.530914099698</v>
      </c>
      <c r="F4" s="235">
        <v>0.18</v>
      </c>
      <c r="G4" s="236">
        <f t="shared" ref="G4:G13" si="1">SUM(H4:J4)</f>
        <v>35868.058894849477</v>
      </c>
      <c r="H4" s="237">
        <f t="shared" ref="H4:H12" si="2">C4*F4</f>
        <v>13592.3561755303</v>
      </c>
      <c r="I4" s="237">
        <f t="shared" ref="I4:I12" si="3">D4*F4</f>
        <v>7013.4071547812318</v>
      </c>
      <c r="J4" s="238">
        <f t="shared" ref="J4:J12" si="4">E4*F4</f>
        <v>15262.295564537944</v>
      </c>
      <c r="K4" s="239">
        <v>0.15</v>
      </c>
      <c r="L4" s="240">
        <f t="shared" ref="L4:L12" si="5">SUM(M4:O4)</f>
        <v>5380.208834227421</v>
      </c>
      <c r="M4" s="69">
        <f t="shared" ref="M4:M12" si="6">H4*K4</f>
        <v>2038.8534263295448</v>
      </c>
      <c r="N4" s="69">
        <f t="shared" ref="N4:N12" si="7">I4*K4</f>
        <v>1052.0110732171847</v>
      </c>
      <c r="O4" s="69">
        <f t="shared" ref="O4:O12" si="8">J4*K4</f>
        <v>2289.3443346806916</v>
      </c>
      <c r="P4" s="239">
        <v>0.43</v>
      </c>
      <c r="Q4" s="239">
        <v>0.8</v>
      </c>
      <c r="R4" s="241">
        <v>1.5</v>
      </c>
      <c r="S4" s="69">
        <f t="shared" ref="S4:S12" si="9">SUM(T4:V4)</f>
        <v>1233.8612259828219</v>
      </c>
      <c r="T4" s="69">
        <f t="shared" ref="T4:T12" si="10">(M4*P4*Q4)/R4</f>
        <v>467.57705243824233</v>
      </c>
      <c r="U4" s="69">
        <f t="shared" ref="U4:U12" si="11">(N4*P4*Q4)/R4</f>
        <v>241.26120612447437</v>
      </c>
      <c r="V4" s="69">
        <f t="shared" ref="V4:V12" si="12">(O4*P4*Q4)/R4</f>
        <v>525.02296742010537</v>
      </c>
      <c r="W4" s="69">
        <f t="shared" ref="W4:W12" si="13">SUM(X4:Z4)</f>
        <v>4146.3476082445995</v>
      </c>
      <c r="X4" s="69">
        <f t="shared" ref="X4:X12" si="14">M4-T4</f>
        <v>1571.2763738913025</v>
      </c>
      <c r="Y4" s="69">
        <f t="shared" ref="Y4:Y12" si="15">N4-U4</f>
        <v>810.74986709271036</v>
      </c>
      <c r="Z4" s="69">
        <f t="shared" ref="Z4:Z12" si="16">O4-V4</f>
        <v>1764.3213672605862</v>
      </c>
      <c r="AA4" s="69">
        <f t="shared" ref="AA4:AA12" si="17">SUM(AB4:AD4)</f>
        <v>5380.208834227421</v>
      </c>
      <c r="AB4" s="69">
        <f t="shared" ref="AB4:AB12" si="18">T4+X4</f>
        <v>2038.8534263295448</v>
      </c>
      <c r="AC4" s="69">
        <f t="shared" ref="AC4:AC12" si="19">U4+Y4</f>
        <v>1052.0110732171847</v>
      </c>
      <c r="AD4" s="69">
        <f t="shared" ref="AD4:AD11" si="20">V4+Z4</f>
        <v>2289.3443346806916</v>
      </c>
      <c r="AF4" s="11"/>
    </row>
    <row r="5" spans="1:32" x14ac:dyDescent="0.25">
      <c r="A5" s="131">
        <v>2022</v>
      </c>
      <c r="B5" s="64">
        <f t="shared" si="0"/>
        <v>211580.84042902337</v>
      </c>
      <c r="C5" s="64">
        <f>'5.1.1 Nakłady lata'!V4</f>
        <v>80073.510262147713</v>
      </c>
      <c r="D5" s="64">
        <f>'5.1.1 Nakłady lata'!W4</f>
        <v>41403.006392766307</v>
      </c>
      <c r="E5" s="64">
        <f>'5.1.1 Nakłady lata'!X4</f>
        <v>90104.323774109347</v>
      </c>
      <c r="F5" s="235">
        <v>0.18</v>
      </c>
      <c r="G5" s="236">
        <f t="shared" si="1"/>
        <v>38084.551277224207</v>
      </c>
      <c r="H5" s="237">
        <f t="shared" si="2"/>
        <v>14413.231847186587</v>
      </c>
      <c r="I5" s="237">
        <f t="shared" si="3"/>
        <v>7452.5411506979353</v>
      </c>
      <c r="J5" s="238">
        <f t="shared" si="4"/>
        <v>16218.778279339682</v>
      </c>
      <c r="K5" s="239">
        <v>0.15</v>
      </c>
      <c r="L5" s="240">
        <f t="shared" si="5"/>
        <v>5712.68269158363</v>
      </c>
      <c r="M5" s="69">
        <f t="shared" si="6"/>
        <v>2161.9847770779879</v>
      </c>
      <c r="N5" s="69">
        <f t="shared" si="7"/>
        <v>1117.8811726046902</v>
      </c>
      <c r="O5" s="69">
        <f t="shared" si="8"/>
        <v>2432.8167419009524</v>
      </c>
      <c r="P5" s="239">
        <v>0.43</v>
      </c>
      <c r="Q5" s="239">
        <v>0.8</v>
      </c>
      <c r="R5" s="241">
        <v>1.5</v>
      </c>
      <c r="S5" s="69">
        <f t="shared" si="9"/>
        <v>1310.1085639365126</v>
      </c>
      <c r="T5" s="69">
        <f t="shared" si="10"/>
        <v>495.81517554321857</v>
      </c>
      <c r="U5" s="69">
        <f t="shared" si="11"/>
        <v>256.36741558400894</v>
      </c>
      <c r="V5" s="69">
        <f t="shared" si="12"/>
        <v>557.9259728092851</v>
      </c>
      <c r="W5" s="69">
        <f t="shared" si="13"/>
        <v>4402.5741276471181</v>
      </c>
      <c r="X5" s="69">
        <f t="shared" si="14"/>
        <v>1666.1696015347693</v>
      </c>
      <c r="Y5" s="69">
        <f t="shared" si="15"/>
        <v>861.51375702068117</v>
      </c>
      <c r="Z5" s="69">
        <f t="shared" si="16"/>
        <v>1874.8907690916672</v>
      </c>
      <c r="AA5" s="69">
        <f t="shared" si="17"/>
        <v>5712.68269158363</v>
      </c>
      <c r="AB5" s="69">
        <f t="shared" si="18"/>
        <v>2161.9847770779879</v>
      </c>
      <c r="AC5" s="69">
        <f t="shared" si="19"/>
        <v>1117.8811726046902</v>
      </c>
      <c r="AD5" s="69">
        <f t="shared" si="20"/>
        <v>2432.8167419009524</v>
      </c>
      <c r="AF5" s="11"/>
    </row>
    <row r="6" spans="1:32" x14ac:dyDescent="0.25">
      <c r="A6" s="131">
        <v>2023</v>
      </c>
      <c r="B6" s="64">
        <f t="shared" si="0"/>
        <v>224647.13961279893</v>
      </c>
      <c r="C6" s="64">
        <f>'5.1.1 Nakłady lata'!V5</f>
        <v>84908.684034929625</v>
      </c>
      <c r="D6" s="64">
        <f>'5.1.1 Nakłady lata'!W5</f>
        <v>43992.894220248607</v>
      </c>
      <c r="E6" s="64">
        <f>'5.1.1 Nakłady lata'!X5</f>
        <v>95745.561357620696</v>
      </c>
      <c r="F6" s="235">
        <v>0.18</v>
      </c>
      <c r="G6" s="236">
        <f t="shared" si="1"/>
        <v>40436.485130303809</v>
      </c>
      <c r="H6" s="237">
        <f t="shared" si="2"/>
        <v>15283.563126287332</v>
      </c>
      <c r="I6" s="237">
        <f t="shared" si="3"/>
        <v>7918.7209596447492</v>
      </c>
      <c r="J6" s="238">
        <f t="shared" si="4"/>
        <v>17234.201044371726</v>
      </c>
      <c r="K6" s="239">
        <v>0.15</v>
      </c>
      <c r="L6" s="240">
        <f t="shared" si="5"/>
        <v>6065.4727695455713</v>
      </c>
      <c r="M6" s="69">
        <f t="shared" si="6"/>
        <v>2292.5344689430999</v>
      </c>
      <c r="N6" s="69">
        <f t="shared" si="7"/>
        <v>1187.8081439467123</v>
      </c>
      <c r="O6" s="69">
        <f t="shared" si="8"/>
        <v>2585.130156655759</v>
      </c>
      <c r="P6" s="239">
        <v>0.43</v>
      </c>
      <c r="Q6" s="239">
        <v>0.8</v>
      </c>
      <c r="R6" s="241">
        <v>1.5</v>
      </c>
      <c r="S6" s="69">
        <f t="shared" si="9"/>
        <v>1391.0150884824511</v>
      </c>
      <c r="T6" s="69">
        <f t="shared" si="10"/>
        <v>525.7545715442842</v>
      </c>
      <c r="U6" s="69">
        <f t="shared" si="11"/>
        <v>272.40400101177937</v>
      </c>
      <c r="V6" s="69">
        <f t="shared" si="12"/>
        <v>592.85651592638749</v>
      </c>
      <c r="W6" s="69">
        <f t="shared" si="13"/>
        <v>4674.4576810631197</v>
      </c>
      <c r="X6" s="69">
        <f t="shared" si="14"/>
        <v>1766.7798973988156</v>
      </c>
      <c r="Y6" s="69">
        <f t="shared" si="15"/>
        <v>915.40414293493291</v>
      </c>
      <c r="Z6" s="69">
        <f t="shared" si="16"/>
        <v>1992.2736407293714</v>
      </c>
      <c r="AA6" s="69">
        <f t="shared" si="17"/>
        <v>6065.4727695455713</v>
      </c>
      <c r="AB6" s="69">
        <f t="shared" si="18"/>
        <v>2292.5344689430999</v>
      </c>
      <c r="AC6" s="69">
        <f t="shared" si="19"/>
        <v>1187.8081439467123</v>
      </c>
      <c r="AD6" s="69">
        <f t="shared" si="20"/>
        <v>2585.130156655759</v>
      </c>
      <c r="AF6" s="11"/>
    </row>
    <row r="7" spans="1:32" x14ac:dyDescent="0.25">
      <c r="A7" s="131">
        <v>2024</v>
      </c>
      <c r="B7" s="64">
        <f t="shared" si="0"/>
        <v>238511.50618325063</v>
      </c>
      <c r="C7" s="64">
        <f>'5.1.1 Nakłady lata'!V6</f>
        <v>90035.135112449425</v>
      </c>
      <c r="D7" s="64">
        <f>'5.1.1 Nakłady lata'!W6</f>
        <v>46742.184910080134</v>
      </c>
      <c r="E7" s="64">
        <f>'5.1.1 Nakłady lata'!X6</f>
        <v>101734.18616072106</v>
      </c>
      <c r="F7" s="235">
        <v>0.18</v>
      </c>
      <c r="G7" s="236">
        <f t="shared" si="1"/>
        <v>42932.071112985112</v>
      </c>
      <c r="H7" s="237">
        <f t="shared" si="2"/>
        <v>16206.324320240896</v>
      </c>
      <c r="I7" s="237">
        <f t="shared" si="3"/>
        <v>8413.5932838144236</v>
      </c>
      <c r="J7" s="238">
        <f t="shared" si="4"/>
        <v>18312.15350892979</v>
      </c>
      <c r="K7" s="239">
        <v>0.15</v>
      </c>
      <c r="L7" s="240">
        <f t="shared" si="5"/>
        <v>6439.8106669477656</v>
      </c>
      <c r="M7" s="69">
        <f t="shared" si="6"/>
        <v>2430.9486480361343</v>
      </c>
      <c r="N7" s="69">
        <f t="shared" si="7"/>
        <v>1262.0389925721636</v>
      </c>
      <c r="O7" s="69">
        <f t="shared" si="8"/>
        <v>2746.8230263394685</v>
      </c>
      <c r="P7" s="239">
        <v>0.43</v>
      </c>
      <c r="Q7" s="239">
        <v>0.8</v>
      </c>
      <c r="R7" s="241">
        <v>1.5</v>
      </c>
      <c r="S7" s="69">
        <f t="shared" si="9"/>
        <v>1476.8632462866879</v>
      </c>
      <c r="T7" s="69">
        <f t="shared" si="10"/>
        <v>557.49755661628694</v>
      </c>
      <c r="U7" s="69">
        <f t="shared" si="11"/>
        <v>289.42760896321619</v>
      </c>
      <c r="V7" s="69">
        <f t="shared" si="12"/>
        <v>629.93808070718478</v>
      </c>
      <c r="W7" s="69">
        <f t="shared" si="13"/>
        <v>4962.9474206610776</v>
      </c>
      <c r="X7" s="69">
        <f t="shared" si="14"/>
        <v>1873.4510914198472</v>
      </c>
      <c r="Y7" s="69">
        <f t="shared" si="15"/>
        <v>972.61138360894734</v>
      </c>
      <c r="Z7" s="69">
        <f t="shared" si="16"/>
        <v>2116.8849456322837</v>
      </c>
      <c r="AA7" s="69">
        <f t="shared" si="17"/>
        <v>6439.8106669477656</v>
      </c>
      <c r="AB7" s="69">
        <f t="shared" si="18"/>
        <v>2430.9486480361343</v>
      </c>
      <c r="AC7" s="69">
        <f t="shared" si="19"/>
        <v>1262.0389925721636</v>
      </c>
      <c r="AD7" s="69">
        <f t="shared" si="20"/>
        <v>2746.8230263394685</v>
      </c>
      <c r="AF7" s="11"/>
    </row>
    <row r="8" spans="1:32" x14ac:dyDescent="0.25">
      <c r="A8" s="131">
        <v>2025</v>
      </c>
      <c r="B8" s="64">
        <f t="shared" si="0"/>
        <v>253222.30450524885</v>
      </c>
      <c r="C8" s="64">
        <f>'5.1.1 Nakłady lata'!V7</f>
        <v>95470.379912935867</v>
      </c>
      <c r="D8" s="64">
        <f>'5.1.1 Nakłady lata'!W7</f>
        <v>49660.579324662067</v>
      </c>
      <c r="E8" s="64">
        <f>'5.1.1 Nakłady lata'!X7</f>
        <v>108091.3452676509</v>
      </c>
      <c r="F8" s="235">
        <v>0.18</v>
      </c>
      <c r="G8" s="236">
        <f t="shared" si="1"/>
        <v>45580.014810944791</v>
      </c>
      <c r="H8" s="237">
        <f t="shared" si="2"/>
        <v>17184.668384328455</v>
      </c>
      <c r="I8" s="237">
        <f t="shared" si="3"/>
        <v>8938.9042784391713</v>
      </c>
      <c r="J8" s="238">
        <f t="shared" si="4"/>
        <v>19456.442148177161</v>
      </c>
      <c r="K8" s="239">
        <v>0.15</v>
      </c>
      <c r="L8" s="240">
        <f t="shared" si="5"/>
        <v>6837.0022216417183</v>
      </c>
      <c r="M8" s="69">
        <f t="shared" si="6"/>
        <v>2577.7002576492682</v>
      </c>
      <c r="N8" s="69">
        <f t="shared" si="7"/>
        <v>1340.8356417658756</v>
      </c>
      <c r="O8" s="69">
        <f t="shared" si="8"/>
        <v>2918.466322226574</v>
      </c>
      <c r="P8" s="239">
        <v>0.43</v>
      </c>
      <c r="Q8" s="239">
        <v>0.8</v>
      </c>
      <c r="R8" s="241">
        <v>1.5</v>
      </c>
      <c r="S8" s="69">
        <f t="shared" si="9"/>
        <v>1567.9525094965006</v>
      </c>
      <c r="T8" s="69">
        <f t="shared" si="10"/>
        <v>591.15259242089894</v>
      </c>
      <c r="U8" s="69">
        <f t="shared" si="11"/>
        <v>307.49830717830747</v>
      </c>
      <c r="V8" s="69">
        <f t="shared" si="12"/>
        <v>669.30160989729427</v>
      </c>
      <c r="W8" s="69">
        <f t="shared" si="13"/>
        <v>5269.0497121452172</v>
      </c>
      <c r="X8" s="69">
        <f t="shared" si="14"/>
        <v>1986.5476652283692</v>
      </c>
      <c r="Y8" s="69">
        <f t="shared" si="15"/>
        <v>1033.3373345875682</v>
      </c>
      <c r="Z8" s="69">
        <f t="shared" si="16"/>
        <v>2249.1647123292796</v>
      </c>
      <c r="AA8" s="69">
        <f t="shared" si="17"/>
        <v>6837.0022216417183</v>
      </c>
      <c r="AB8" s="69">
        <f t="shared" si="18"/>
        <v>2577.7002576492682</v>
      </c>
      <c r="AC8" s="69">
        <f t="shared" si="19"/>
        <v>1340.8356417658756</v>
      </c>
      <c r="AD8" s="69">
        <f t="shared" si="20"/>
        <v>2918.466322226574</v>
      </c>
      <c r="AF8" s="11"/>
    </row>
    <row r="9" spans="1:32" x14ac:dyDescent="0.25">
      <c r="A9" s="131">
        <v>2026</v>
      </c>
      <c r="B9" s="64">
        <f t="shared" si="0"/>
        <v>268830.81361413415</v>
      </c>
      <c r="C9" s="64">
        <f>'5.1.1 Nakłady lata'!V8</f>
        <v>101232.98690050993</v>
      </c>
      <c r="D9" s="64">
        <f>'5.1.1 Nakłady lata'!W8</f>
        <v>52758.364023223927</v>
      </c>
      <c r="E9" s="64">
        <f>'5.1.1 Nakłady lata'!X8</f>
        <v>114839.46269040031</v>
      </c>
      <c r="F9" s="235">
        <v>0.18</v>
      </c>
      <c r="G9" s="236">
        <f t="shared" si="1"/>
        <v>48389.546450544149</v>
      </c>
      <c r="H9" s="237">
        <f t="shared" si="2"/>
        <v>18221.937642091787</v>
      </c>
      <c r="I9" s="237">
        <f t="shared" si="3"/>
        <v>9496.5055241803057</v>
      </c>
      <c r="J9" s="238">
        <f>E9*F9</f>
        <v>20671.103284272056</v>
      </c>
      <c r="K9" s="239">
        <v>0.15</v>
      </c>
      <c r="L9" s="240">
        <f t="shared" si="5"/>
        <v>7258.4319675816223</v>
      </c>
      <c r="M9" s="69">
        <f t="shared" si="6"/>
        <v>2733.2906463137679</v>
      </c>
      <c r="N9" s="69">
        <f t="shared" si="7"/>
        <v>1424.4758286270458</v>
      </c>
      <c r="O9" s="69">
        <f t="shared" si="8"/>
        <v>3100.6654926408082</v>
      </c>
      <c r="P9" s="239">
        <v>0.43</v>
      </c>
      <c r="Q9" s="239">
        <v>0.8</v>
      </c>
      <c r="R9" s="241">
        <v>1.5</v>
      </c>
      <c r="S9" s="69">
        <f t="shared" si="9"/>
        <v>1664.6003978987187</v>
      </c>
      <c r="T9" s="69">
        <f t="shared" si="10"/>
        <v>626.83465488795741</v>
      </c>
      <c r="U9" s="69">
        <f t="shared" si="11"/>
        <v>326.6797900318025</v>
      </c>
      <c r="V9" s="69">
        <f t="shared" si="12"/>
        <v>711.08595297895874</v>
      </c>
      <c r="W9" s="69">
        <f t="shared" si="13"/>
        <v>5593.8315696829031</v>
      </c>
      <c r="X9" s="69">
        <f t="shared" si="14"/>
        <v>2106.4559914258107</v>
      </c>
      <c r="Y9" s="69">
        <f t="shared" si="15"/>
        <v>1097.7960385952433</v>
      </c>
      <c r="Z9" s="69">
        <f t="shared" si="16"/>
        <v>2389.5795396618496</v>
      </c>
      <c r="AA9" s="69">
        <f t="shared" si="17"/>
        <v>7258.4319675816223</v>
      </c>
      <c r="AB9" s="69">
        <f t="shared" si="18"/>
        <v>2733.2906463137679</v>
      </c>
      <c r="AC9" s="69">
        <f t="shared" si="19"/>
        <v>1424.4758286270458</v>
      </c>
      <c r="AD9" s="69">
        <f t="shared" si="20"/>
        <v>3100.6654926408082</v>
      </c>
      <c r="AF9" s="11"/>
    </row>
    <row r="10" spans="1:32" x14ac:dyDescent="0.25">
      <c r="A10" s="131">
        <v>2027</v>
      </c>
      <c r="B10" s="64">
        <f t="shared" si="0"/>
        <v>285391.40217599901</v>
      </c>
      <c r="C10" s="64">
        <f>'5.1.1 Nakłady lata'!V9</f>
        <v>107342.63971456834</v>
      </c>
      <c r="D10" s="64">
        <f>'5.1.1 Nakłady lata'!W9</f>
        <v>56046.446426415088</v>
      </c>
      <c r="E10" s="64">
        <f>'5.1.1 Nakłady lata'!X9</f>
        <v>122002.31603501554</v>
      </c>
      <c r="F10" s="235">
        <v>0.18</v>
      </c>
      <c r="G10" s="236">
        <f t="shared" si="1"/>
        <v>51370.452391679813</v>
      </c>
      <c r="H10" s="237">
        <f t="shared" si="2"/>
        <v>19321.6751486223</v>
      </c>
      <c r="I10" s="237">
        <f t="shared" si="3"/>
        <v>10088.360356754716</v>
      </c>
      <c r="J10" s="238">
        <f t="shared" si="4"/>
        <v>21960.416886302795</v>
      </c>
      <c r="K10" s="239">
        <v>0.15</v>
      </c>
      <c r="L10" s="240">
        <f t="shared" si="5"/>
        <v>7705.5678587519706</v>
      </c>
      <c r="M10" s="69">
        <f t="shared" si="6"/>
        <v>2898.2512722933448</v>
      </c>
      <c r="N10" s="69">
        <f t="shared" si="7"/>
        <v>1513.2540535132073</v>
      </c>
      <c r="O10" s="69">
        <f t="shared" si="8"/>
        <v>3294.0625329454192</v>
      </c>
      <c r="P10" s="239">
        <v>0.43</v>
      </c>
      <c r="Q10" s="239">
        <v>0.8</v>
      </c>
      <c r="R10" s="241">
        <v>1.5</v>
      </c>
      <c r="S10" s="69">
        <f t="shared" si="9"/>
        <v>1767.1435622737854</v>
      </c>
      <c r="T10" s="69">
        <f t="shared" si="10"/>
        <v>664.66562511260713</v>
      </c>
      <c r="U10" s="69">
        <f t="shared" si="11"/>
        <v>347.03959627236219</v>
      </c>
      <c r="V10" s="69">
        <f t="shared" si="12"/>
        <v>755.43834088881613</v>
      </c>
      <c r="W10" s="69">
        <f t="shared" si="13"/>
        <v>5938.4242964781861</v>
      </c>
      <c r="X10" s="69">
        <f t="shared" si="14"/>
        <v>2233.5856471807374</v>
      </c>
      <c r="Y10" s="69">
        <f t="shared" si="15"/>
        <v>1166.2144572408451</v>
      </c>
      <c r="Z10" s="69">
        <f t="shared" si="16"/>
        <v>2538.6241920566031</v>
      </c>
      <c r="AA10" s="69">
        <f t="shared" si="17"/>
        <v>7705.5678587519706</v>
      </c>
      <c r="AB10" s="69">
        <f t="shared" si="18"/>
        <v>2898.2512722933443</v>
      </c>
      <c r="AC10" s="69">
        <f t="shared" si="19"/>
        <v>1513.2540535132073</v>
      </c>
      <c r="AD10" s="69">
        <f t="shared" si="20"/>
        <v>3294.0625329454192</v>
      </c>
      <c r="AF10" s="11"/>
    </row>
    <row r="11" spans="1:32" x14ac:dyDescent="0.25">
      <c r="A11" s="131">
        <v>2028</v>
      </c>
      <c r="B11" s="64">
        <f t="shared" si="0"/>
        <v>302961.71392157022</v>
      </c>
      <c r="C11" s="64">
        <f>'5.1.1 Nakłady lata'!V10</f>
        <v>113820.20408494119</v>
      </c>
      <c r="D11" s="64">
        <f>'5.1.1 Nakłady lata'!W10</f>
        <v>59536.392083937142</v>
      </c>
      <c r="E11" s="64">
        <f>'5.1.1 Nakłady lata'!X10</f>
        <v>129605.11775269193</v>
      </c>
      <c r="F11" s="235">
        <v>0.18</v>
      </c>
      <c r="G11" s="236">
        <f t="shared" si="1"/>
        <v>54533.108505882643</v>
      </c>
      <c r="H11" s="237">
        <f t="shared" si="2"/>
        <v>20487.636735289412</v>
      </c>
      <c r="I11" s="237">
        <f t="shared" si="3"/>
        <v>10716.550575108686</v>
      </c>
      <c r="J11" s="238">
        <f t="shared" si="4"/>
        <v>23328.921195484549</v>
      </c>
      <c r="K11" s="239">
        <v>0.15</v>
      </c>
      <c r="L11" s="240">
        <f t="shared" si="5"/>
        <v>8179.9662758823961</v>
      </c>
      <c r="M11" s="69">
        <f t="shared" si="6"/>
        <v>3073.1455102934119</v>
      </c>
      <c r="N11" s="69">
        <f t="shared" si="7"/>
        <v>1607.4825862663029</v>
      </c>
      <c r="O11" s="69">
        <f t="shared" si="8"/>
        <v>3499.3381793226822</v>
      </c>
      <c r="P11" s="239">
        <v>0.43</v>
      </c>
      <c r="Q11" s="239">
        <v>0.8</v>
      </c>
      <c r="R11" s="241">
        <v>1.5</v>
      </c>
      <c r="S11" s="69">
        <f t="shared" si="9"/>
        <v>1875.9389326023631</v>
      </c>
      <c r="T11" s="69">
        <f t="shared" si="10"/>
        <v>704.77470369395587</v>
      </c>
      <c r="U11" s="69">
        <f t="shared" si="11"/>
        <v>368.64933978373875</v>
      </c>
      <c r="V11" s="69">
        <f t="shared" si="12"/>
        <v>802.51488912466857</v>
      </c>
      <c r="W11" s="69">
        <f t="shared" si="13"/>
        <v>6304.0273432800341</v>
      </c>
      <c r="X11" s="69">
        <f t="shared" si="14"/>
        <v>2368.370806599456</v>
      </c>
      <c r="Y11" s="69">
        <f t="shared" si="15"/>
        <v>1238.8332464825642</v>
      </c>
      <c r="Z11" s="69">
        <f t="shared" si="16"/>
        <v>2696.8232901980136</v>
      </c>
      <c r="AA11" s="69">
        <f t="shared" si="17"/>
        <v>8179.9662758823961</v>
      </c>
      <c r="AB11" s="69">
        <f t="shared" si="18"/>
        <v>3073.1455102934119</v>
      </c>
      <c r="AC11" s="69">
        <f t="shared" si="19"/>
        <v>1607.4825862663029</v>
      </c>
      <c r="AD11" s="69">
        <f t="shared" si="20"/>
        <v>3499.3381793226822</v>
      </c>
      <c r="AF11" s="11"/>
    </row>
    <row r="12" spans="1:32" x14ac:dyDescent="0.25">
      <c r="A12" s="131">
        <v>2029</v>
      </c>
      <c r="B12" s="64">
        <f t="shared" si="0"/>
        <v>321602.86417950736</v>
      </c>
      <c r="C12" s="64">
        <f>'5.1.1 Nakłady lata'!V11</f>
        <v>120687.79875975434</v>
      </c>
      <c r="D12" s="64">
        <f>'5.1.1 Nakłady lata'!W11</f>
        <v>63240.464170659405</v>
      </c>
      <c r="E12" s="64">
        <f>'5.1.1 Nakłady lata'!X11</f>
        <v>137674.60124909363</v>
      </c>
      <c r="F12" s="235">
        <v>0.18</v>
      </c>
      <c r="G12" s="236">
        <f t="shared" si="1"/>
        <v>57888.515552311321</v>
      </c>
      <c r="H12" s="237">
        <f t="shared" si="2"/>
        <v>21723.80377675578</v>
      </c>
      <c r="I12" s="237">
        <f t="shared" si="3"/>
        <v>11383.283550718692</v>
      </c>
      <c r="J12" s="238">
        <f t="shared" si="4"/>
        <v>24781.428224836851</v>
      </c>
      <c r="K12" s="239">
        <v>0.15</v>
      </c>
      <c r="L12" s="240">
        <f t="shared" si="5"/>
        <v>8683.2773328466974</v>
      </c>
      <c r="M12" s="69">
        <f t="shared" si="6"/>
        <v>3258.5705665133669</v>
      </c>
      <c r="N12" s="69">
        <f t="shared" si="7"/>
        <v>1707.4925326078037</v>
      </c>
      <c r="O12" s="69">
        <f t="shared" si="8"/>
        <v>3717.2142337255273</v>
      </c>
      <c r="P12" s="239">
        <v>0.43</v>
      </c>
      <c r="Q12" s="239">
        <v>0.8</v>
      </c>
      <c r="R12" s="241">
        <v>1.5</v>
      </c>
      <c r="S12" s="69">
        <f t="shared" si="9"/>
        <v>1991.3649349995096</v>
      </c>
      <c r="T12" s="69">
        <f t="shared" si="10"/>
        <v>747.29884992039888</v>
      </c>
      <c r="U12" s="69">
        <f t="shared" si="11"/>
        <v>391.58495414472299</v>
      </c>
      <c r="V12" s="69">
        <f t="shared" si="12"/>
        <v>852.48113093438769</v>
      </c>
      <c r="W12" s="69">
        <f t="shared" si="13"/>
        <v>6691.912397847188</v>
      </c>
      <c r="X12" s="69">
        <f t="shared" si="14"/>
        <v>2511.271716592968</v>
      </c>
      <c r="Y12" s="69">
        <f t="shared" si="15"/>
        <v>1315.9075784630807</v>
      </c>
      <c r="Z12" s="69">
        <f t="shared" si="16"/>
        <v>2864.7331027911396</v>
      </c>
      <c r="AA12" s="69">
        <f t="shared" si="17"/>
        <v>8683.2773328466974</v>
      </c>
      <c r="AB12" s="69">
        <f t="shared" si="18"/>
        <v>3258.5705665133669</v>
      </c>
      <c r="AC12" s="69">
        <f t="shared" si="19"/>
        <v>1707.4925326078037</v>
      </c>
      <c r="AD12" s="69">
        <f>V12+Z12</f>
        <v>3717.2142337255273</v>
      </c>
      <c r="AF12" s="11"/>
    </row>
    <row r="13" spans="1:32" s="47" customFormat="1" x14ac:dyDescent="0.25">
      <c r="A13" s="134" t="s">
        <v>65</v>
      </c>
      <c r="B13" s="213">
        <f>SUM(B3:B12)</f>
        <v>2493678.1545291324</v>
      </c>
      <c r="C13" s="213">
        <f>SUM(C3:C12)</f>
        <v>940296.26361445477</v>
      </c>
      <c r="D13" s="213">
        <f>SUM(D3:D12)</f>
        <v>489009.07095313497</v>
      </c>
      <c r="E13" s="213">
        <f>SUM(E3:E12)</f>
        <v>1064372.8199615425</v>
      </c>
      <c r="F13" s="213"/>
      <c r="G13" s="213">
        <f t="shared" si="1"/>
        <v>446985.44205477054</v>
      </c>
      <c r="H13" s="242">
        <f>SUM(H3:H12)</f>
        <v>168541.20910092024</v>
      </c>
      <c r="I13" s="242">
        <f>SUM(I3:I12)</f>
        <v>87654.979108374057</v>
      </c>
      <c r="J13" s="243">
        <f>SUM(J3:J12)</f>
        <v>190789.25384547628</v>
      </c>
      <c r="K13" s="244"/>
      <c r="L13" s="245">
        <f>SUM(L3:L12)</f>
        <v>68642.948204617845</v>
      </c>
      <c r="M13" s="52">
        <f>SUM(M3:M12)</f>
        <v>25886.481962367405</v>
      </c>
      <c r="N13" s="52">
        <f>SUM(N3:N12)</f>
        <v>13459.902479967815</v>
      </c>
      <c r="O13" s="52">
        <f>SUM(O3:O12)</f>
        <v>29296.563762282629</v>
      </c>
      <c r="P13" s="52"/>
      <c r="Q13" s="52"/>
      <c r="R13" s="52"/>
      <c r="S13" s="52">
        <f t="shared" ref="S13:AD13" si="21">SUM(S3:S12)</f>
        <v>15742.11612159236</v>
      </c>
      <c r="T13" s="52">
        <f t="shared" si="21"/>
        <v>5936.6331967029237</v>
      </c>
      <c r="U13" s="52">
        <f t="shared" si="21"/>
        <v>3086.8043020726186</v>
      </c>
      <c r="V13" s="52">
        <f t="shared" si="21"/>
        <v>6718.6786228168166</v>
      </c>
      <c r="W13" s="52">
        <f t="shared" si="21"/>
        <v>52900.832083025489</v>
      </c>
      <c r="X13" s="52">
        <f t="shared" si="21"/>
        <v>19949.848765664476</v>
      </c>
      <c r="Y13" s="52">
        <f t="shared" si="21"/>
        <v>10373.098177895194</v>
      </c>
      <c r="Z13" s="52">
        <f t="shared" si="21"/>
        <v>22577.885139465809</v>
      </c>
      <c r="AA13" s="52">
        <f t="shared" si="21"/>
        <v>68642.948204617845</v>
      </c>
      <c r="AB13" s="52">
        <f t="shared" si="21"/>
        <v>25886.481962367401</v>
      </c>
      <c r="AC13" s="52">
        <f t="shared" si="21"/>
        <v>13459.902479967815</v>
      </c>
      <c r="AD13" s="52">
        <f t="shared" si="21"/>
        <v>29296.563762282629</v>
      </c>
    </row>
    <row r="18" spans="13:14" x14ac:dyDescent="0.25">
      <c r="M18" s="11"/>
      <c r="N18" s="11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90" zoomScaleNormal="90" workbookViewId="0"/>
  </sheetViews>
  <sheetFormatPr defaultRowHeight="15" x14ac:dyDescent="0.25"/>
  <cols>
    <col min="1" max="1" width="25.140625" customWidth="1"/>
    <col min="2" max="2" width="43.7109375" customWidth="1"/>
    <col min="3" max="3" width="27.28515625" customWidth="1"/>
    <col min="4" max="4" width="42" customWidth="1"/>
    <col min="5" max="5" width="32.7109375" customWidth="1"/>
    <col min="6" max="6" width="35.7109375" customWidth="1"/>
    <col min="7" max="7" width="31.85546875" customWidth="1"/>
    <col min="8" max="8" width="32.85546875" customWidth="1"/>
    <col min="9" max="9" width="28" customWidth="1"/>
    <col min="10" max="10" width="17.85546875" customWidth="1"/>
    <col min="11" max="11" width="18.28515625" customWidth="1"/>
    <col min="12" max="12" width="26.7109375" customWidth="1"/>
    <col min="13" max="13" width="29.5703125" customWidth="1"/>
    <col min="14" max="14" width="24.85546875" customWidth="1"/>
    <col min="15" max="15" width="22.28515625" customWidth="1"/>
    <col min="16" max="16" width="24.28515625" customWidth="1"/>
    <col min="17" max="17" width="27.7109375" customWidth="1"/>
    <col min="18" max="18" width="27.5703125" customWidth="1"/>
    <col min="19" max="19" width="24" customWidth="1"/>
    <col min="20" max="20" width="23.5703125" customWidth="1"/>
    <col min="21" max="21" width="25.42578125" customWidth="1"/>
    <col min="22" max="22" width="26.42578125" customWidth="1"/>
    <col min="23" max="23" width="21" customWidth="1"/>
  </cols>
  <sheetData>
    <row r="1" spans="1:25" ht="47.25" customHeight="1" x14ac:dyDescent="0.25">
      <c r="A1" s="94" t="s">
        <v>18</v>
      </c>
      <c r="B1" s="252" t="s">
        <v>88</v>
      </c>
      <c r="C1" s="252" t="s">
        <v>159</v>
      </c>
      <c r="D1" s="253" t="s">
        <v>89</v>
      </c>
      <c r="E1" s="252" t="s">
        <v>160</v>
      </c>
      <c r="F1" s="252" t="s">
        <v>90</v>
      </c>
      <c r="G1" s="252" t="s">
        <v>161</v>
      </c>
      <c r="H1" s="193" t="s">
        <v>91</v>
      </c>
      <c r="I1" s="252" t="s">
        <v>162</v>
      </c>
      <c r="J1" s="252" t="s">
        <v>163</v>
      </c>
      <c r="K1" s="252" t="s">
        <v>164</v>
      </c>
      <c r="L1" s="252" t="s">
        <v>169</v>
      </c>
      <c r="M1" s="252" t="s">
        <v>170</v>
      </c>
      <c r="N1" s="252" t="s">
        <v>171</v>
      </c>
      <c r="O1" s="252" t="s">
        <v>165</v>
      </c>
      <c r="P1" s="252" t="s">
        <v>166</v>
      </c>
      <c r="Q1" s="252" t="s">
        <v>167</v>
      </c>
      <c r="R1" s="252" t="s">
        <v>168</v>
      </c>
      <c r="S1" s="252" t="s">
        <v>173</v>
      </c>
      <c r="T1" s="252" t="s">
        <v>172</v>
      </c>
      <c r="U1" s="252" t="s">
        <v>175</v>
      </c>
      <c r="V1" s="252" t="s">
        <v>174</v>
      </c>
      <c r="W1" s="253" t="s">
        <v>176</v>
      </c>
      <c r="X1" s="47"/>
      <c r="Y1" s="47"/>
    </row>
    <row r="2" spans="1:25" x14ac:dyDescent="0.25">
      <c r="A2" s="144" t="s">
        <v>1</v>
      </c>
      <c r="B2" s="190">
        <v>78381.600000000006</v>
      </c>
      <c r="C2" s="20">
        <v>0.06</v>
      </c>
      <c r="D2" s="190">
        <f>B2*C2</f>
        <v>4702.8959999999997</v>
      </c>
      <c r="E2" s="20">
        <v>0.42</v>
      </c>
      <c r="F2" s="190">
        <f>D2*E2</f>
        <v>1975.2163199999998</v>
      </c>
      <c r="G2" s="20">
        <v>0.52</v>
      </c>
      <c r="H2" s="190">
        <f>F2*G2</f>
        <v>1027.1124863999999</v>
      </c>
      <c r="I2" s="20">
        <v>0.08</v>
      </c>
      <c r="J2" s="250">
        <f>H2*I2</f>
        <v>82.168998911999992</v>
      </c>
      <c r="K2" s="250">
        <f>H2-J2</f>
        <v>944.94348748799985</v>
      </c>
      <c r="L2" s="42">
        <v>0.28999999999999998</v>
      </c>
      <c r="M2" s="251">
        <f>J2*L2</f>
        <v>23.829009684479995</v>
      </c>
      <c r="N2" s="251">
        <f>K2*L2</f>
        <v>274.03361137151995</v>
      </c>
      <c r="O2" s="251">
        <v>21000</v>
      </c>
      <c r="P2" s="45">
        <v>1500</v>
      </c>
      <c r="Q2" s="45">
        <f>SUM(Q3:Q18)</f>
        <v>1724.791670784</v>
      </c>
      <c r="R2" s="45">
        <f>SUM(R3:R18)</f>
        <v>1416.7931581439998</v>
      </c>
      <c r="S2" s="45">
        <f>M2*O$2/1000</f>
        <v>500.40920337407988</v>
      </c>
      <c r="T2" s="45">
        <f>N2*P$2/1000</f>
        <v>411.0504170572799</v>
      </c>
      <c r="U2" s="45">
        <f>Q2-S2</f>
        <v>1224.3824674099201</v>
      </c>
      <c r="V2" s="45">
        <f>R2-T2</f>
        <v>1005.7427410867199</v>
      </c>
      <c r="W2" s="25">
        <f>SUM(U2:V2)</f>
        <v>2230.12520849664</v>
      </c>
      <c r="X2" s="47"/>
      <c r="Y2" s="47"/>
    </row>
    <row r="3" spans="1:25" x14ac:dyDescent="0.25">
      <c r="A3" s="144" t="s">
        <v>2</v>
      </c>
      <c r="B3" s="190">
        <v>7221.4</v>
      </c>
      <c r="C3" s="20">
        <v>0.06</v>
      </c>
      <c r="D3" s="190">
        <f t="shared" ref="D3:D18" si="0">B3*C3</f>
        <v>433.28399999999993</v>
      </c>
      <c r="E3" s="20">
        <v>0.42</v>
      </c>
      <c r="F3" s="190">
        <f t="shared" ref="F3:F18" si="1">D3*E3</f>
        <v>181.97927999999996</v>
      </c>
      <c r="G3" s="20">
        <v>0.52</v>
      </c>
      <c r="H3" s="190">
        <f t="shared" ref="H3:H18" si="2">F3*G3</f>
        <v>94.629225599999984</v>
      </c>
      <c r="I3" s="20">
        <v>0.08</v>
      </c>
      <c r="J3" s="250">
        <f t="shared" ref="J3:J18" si="3">H3*I3</f>
        <v>7.5703380479999991</v>
      </c>
      <c r="K3" s="250">
        <f t="shared" ref="K3:K18" si="4">H3-J3</f>
        <v>87.058887551999987</v>
      </c>
      <c r="L3" s="43">
        <v>0.28999999999999998</v>
      </c>
      <c r="M3" s="251">
        <f t="shared" ref="M3:M18" si="5">J3*L3</f>
        <v>2.1953980339199997</v>
      </c>
      <c r="N3" s="251">
        <f t="shared" ref="N3:N18" si="6">K3*L3</f>
        <v>25.247077390079994</v>
      </c>
      <c r="O3" s="251">
        <v>21000</v>
      </c>
      <c r="P3" s="45">
        <v>1500</v>
      </c>
      <c r="Q3" s="45">
        <f t="shared" ref="Q3:Q18" si="7">J3*O$2/1000</f>
        <v>158.97709900799998</v>
      </c>
      <c r="R3" s="45">
        <f t="shared" ref="R3:R18" si="8">K3*P$2/1000</f>
        <v>130.58833132799998</v>
      </c>
      <c r="S3" s="45">
        <f t="shared" ref="S3:S18" si="9">M3*O$2/1000</f>
        <v>46.103358712319988</v>
      </c>
      <c r="T3" s="45">
        <f t="shared" ref="T3:T18" si="10">N3*P$2/1000</f>
        <v>37.870616085119991</v>
      </c>
      <c r="U3" s="45">
        <f t="shared" ref="U3:U18" si="11">Q3-S3</f>
        <v>112.87374029567999</v>
      </c>
      <c r="V3" s="45">
        <f t="shared" ref="V3:V18" si="12">R3-T3</f>
        <v>92.71771524287999</v>
      </c>
      <c r="W3" s="25">
        <f t="shared" ref="W3:W18" si="13">SUM(U3:V3)</f>
        <v>205.59145553855998</v>
      </c>
      <c r="X3" s="47"/>
      <c r="Y3" s="47"/>
    </row>
    <row r="4" spans="1:25" x14ac:dyDescent="0.25">
      <c r="A4" s="144" t="s">
        <v>3</v>
      </c>
      <c r="B4" s="190">
        <v>2571.4</v>
      </c>
      <c r="C4" s="20">
        <v>0.06</v>
      </c>
      <c r="D4" s="190">
        <f t="shared" si="0"/>
        <v>154.28399999999999</v>
      </c>
      <c r="E4" s="20">
        <v>0.42</v>
      </c>
      <c r="F4" s="190">
        <f t="shared" si="1"/>
        <v>64.799279999999996</v>
      </c>
      <c r="G4" s="20">
        <v>0.52</v>
      </c>
      <c r="H4" s="190">
        <f t="shared" si="2"/>
        <v>33.6956256</v>
      </c>
      <c r="I4" s="20">
        <v>0.08</v>
      </c>
      <c r="J4" s="250">
        <f t="shared" si="3"/>
        <v>2.6956500480000001</v>
      </c>
      <c r="K4" s="250">
        <f t="shared" si="4"/>
        <v>30.999975551999999</v>
      </c>
      <c r="L4" s="43">
        <v>0.28999999999999998</v>
      </c>
      <c r="M4" s="251">
        <f t="shared" si="5"/>
        <v>0.78173851391999993</v>
      </c>
      <c r="N4" s="251">
        <f t="shared" si="6"/>
        <v>8.9899929100799998</v>
      </c>
      <c r="O4" s="251">
        <v>21000</v>
      </c>
      <c r="P4" s="45">
        <v>1500</v>
      </c>
      <c r="Q4" s="45">
        <f t="shared" si="7"/>
        <v>56.608651008000002</v>
      </c>
      <c r="R4" s="45">
        <f t="shared" si="8"/>
        <v>46.499963328</v>
      </c>
      <c r="S4" s="45">
        <f t="shared" si="9"/>
        <v>16.416508792319998</v>
      </c>
      <c r="T4" s="45">
        <f t="shared" si="10"/>
        <v>13.484989365120001</v>
      </c>
      <c r="U4" s="45">
        <f t="shared" si="11"/>
        <v>40.192142215680008</v>
      </c>
      <c r="V4" s="45">
        <f t="shared" si="12"/>
        <v>33.014973962879999</v>
      </c>
      <c r="W4" s="25">
        <f t="shared" si="13"/>
        <v>73.20711617856</v>
      </c>
      <c r="X4" s="47"/>
      <c r="Y4" s="47"/>
    </row>
    <row r="5" spans="1:25" x14ac:dyDescent="0.25">
      <c r="A5" s="144" t="s">
        <v>4</v>
      </c>
      <c r="B5" s="190">
        <v>3284.6</v>
      </c>
      <c r="C5" s="20">
        <v>0.06</v>
      </c>
      <c r="D5" s="190">
        <f t="shared" si="0"/>
        <v>197.07599999999999</v>
      </c>
      <c r="E5" s="20">
        <v>0.42</v>
      </c>
      <c r="F5" s="190">
        <f t="shared" si="1"/>
        <v>82.771919999999994</v>
      </c>
      <c r="G5" s="20">
        <v>0.52</v>
      </c>
      <c r="H5" s="190">
        <f t="shared" si="2"/>
        <v>43.041398399999999</v>
      </c>
      <c r="I5" s="20">
        <v>0.08</v>
      </c>
      <c r="J5" s="250">
        <f t="shared" si="3"/>
        <v>3.4433118719999998</v>
      </c>
      <c r="K5" s="250">
        <f t="shared" si="4"/>
        <v>39.598086527999996</v>
      </c>
      <c r="L5" s="43">
        <v>0.28999999999999998</v>
      </c>
      <c r="M5" s="251">
        <f t="shared" si="5"/>
        <v>0.9985604428799999</v>
      </c>
      <c r="N5" s="251">
        <f t="shared" si="6"/>
        <v>11.483445093119999</v>
      </c>
      <c r="O5" s="251">
        <v>21000</v>
      </c>
      <c r="P5" s="45">
        <v>1500</v>
      </c>
      <c r="Q5" s="45">
        <f t="shared" si="7"/>
        <v>72.309549311999987</v>
      </c>
      <c r="R5" s="45">
        <f t="shared" si="8"/>
        <v>59.397129791999994</v>
      </c>
      <c r="S5" s="45">
        <f t="shared" si="9"/>
        <v>20.969769300479999</v>
      </c>
      <c r="T5" s="45">
        <f t="shared" si="10"/>
        <v>17.225167639679999</v>
      </c>
      <c r="U5" s="45">
        <f t="shared" si="11"/>
        <v>51.339780011519991</v>
      </c>
      <c r="V5" s="45">
        <f t="shared" si="12"/>
        <v>42.171962152319992</v>
      </c>
      <c r="W5" s="25">
        <f t="shared" si="13"/>
        <v>93.511742163839983</v>
      </c>
      <c r="X5" s="47"/>
      <c r="Y5" s="47"/>
    </row>
    <row r="6" spans="1:25" x14ac:dyDescent="0.25">
      <c r="A6" s="144" t="s">
        <v>5</v>
      </c>
      <c r="B6" s="190">
        <v>1509.2</v>
      </c>
      <c r="C6" s="20">
        <v>0.06</v>
      </c>
      <c r="D6" s="190">
        <f t="shared" si="0"/>
        <v>90.551999999999992</v>
      </c>
      <c r="E6" s="20">
        <v>0.42</v>
      </c>
      <c r="F6" s="190">
        <f t="shared" si="1"/>
        <v>38.031839999999995</v>
      </c>
      <c r="G6" s="20">
        <v>0.52</v>
      </c>
      <c r="H6" s="190">
        <f t="shared" si="2"/>
        <v>19.776556799999998</v>
      </c>
      <c r="I6" s="20">
        <v>0.08</v>
      </c>
      <c r="J6" s="250">
        <f t="shared" si="3"/>
        <v>1.5821245439999998</v>
      </c>
      <c r="K6" s="250">
        <f t="shared" si="4"/>
        <v>18.194432255999999</v>
      </c>
      <c r="L6" s="43">
        <v>0.28999999999999998</v>
      </c>
      <c r="M6" s="251">
        <f t="shared" si="5"/>
        <v>0.45881611775999992</v>
      </c>
      <c r="N6" s="251">
        <f t="shared" si="6"/>
        <v>5.2763853542399994</v>
      </c>
      <c r="O6" s="251">
        <v>21000</v>
      </c>
      <c r="P6" s="45">
        <v>1500</v>
      </c>
      <c r="Q6" s="45">
        <f t="shared" si="7"/>
        <v>33.224615423999992</v>
      </c>
      <c r="R6" s="45">
        <f t="shared" si="8"/>
        <v>27.291648383999998</v>
      </c>
      <c r="S6" s="45">
        <f t="shared" si="9"/>
        <v>9.6351384729599978</v>
      </c>
      <c r="T6" s="45">
        <f t="shared" si="10"/>
        <v>7.9145780313599987</v>
      </c>
      <c r="U6" s="45">
        <f t="shared" si="11"/>
        <v>23.589476951039995</v>
      </c>
      <c r="V6" s="45">
        <f t="shared" si="12"/>
        <v>19.377070352640001</v>
      </c>
      <c r="W6" s="25">
        <f t="shared" si="13"/>
        <v>42.966547303679995</v>
      </c>
      <c r="X6" s="47"/>
      <c r="Y6" s="47"/>
    </row>
    <row r="7" spans="1:25" x14ac:dyDescent="0.25">
      <c r="A7" s="144" t="s">
        <v>6</v>
      </c>
      <c r="B7" s="190">
        <v>3362.4</v>
      </c>
      <c r="C7" s="20">
        <v>0.06</v>
      </c>
      <c r="D7" s="190">
        <f t="shared" si="0"/>
        <v>201.744</v>
      </c>
      <c r="E7" s="20">
        <v>0.42</v>
      </c>
      <c r="F7" s="190">
        <f t="shared" si="1"/>
        <v>84.732479999999995</v>
      </c>
      <c r="G7" s="20">
        <v>0.52</v>
      </c>
      <c r="H7" s="190">
        <f t="shared" si="2"/>
        <v>44.060889599999996</v>
      </c>
      <c r="I7" s="20">
        <v>0.08</v>
      </c>
      <c r="J7" s="250">
        <f t="shared" si="3"/>
        <v>3.5248711679999998</v>
      </c>
      <c r="K7" s="250">
        <f t="shared" si="4"/>
        <v>40.536018431999999</v>
      </c>
      <c r="L7" s="43">
        <v>0.28999999999999998</v>
      </c>
      <c r="M7" s="251">
        <f t="shared" si="5"/>
        <v>1.0222126387199999</v>
      </c>
      <c r="N7" s="251">
        <f t="shared" si="6"/>
        <v>11.755445345279998</v>
      </c>
      <c r="O7" s="251">
        <v>21000</v>
      </c>
      <c r="P7" s="45">
        <v>1500</v>
      </c>
      <c r="Q7" s="45">
        <f t="shared" si="7"/>
        <v>74.022294528000003</v>
      </c>
      <c r="R7" s="45">
        <f t="shared" si="8"/>
        <v>60.804027647999995</v>
      </c>
      <c r="S7" s="45">
        <f t="shared" si="9"/>
        <v>21.466465413119998</v>
      </c>
      <c r="T7" s="45">
        <f t="shared" si="10"/>
        <v>17.633168017919999</v>
      </c>
      <c r="U7" s="45">
        <f t="shared" si="11"/>
        <v>52.555829114880005</v>
      </c>
      <c r="V7" s="45">
        <f t="shared" si="12"/>
        <v>43.170859630079995</v>
      </c>
      <c r="W7" s="25">
        <f t="shared" si="13"/>
        <v>95.726688744960001</v>
      </c>
      <c r="X7" s="47"/>
      <c r="Y7" s="47"/>
    </row>
    <row r="8" spans="1:25" x14ac:dyDescent="0.25">
      <c r="A8" s="144" t="s">
        <v>7</v>
      </c>
      <c r="B8" s="190">
        <v>9850.6</v>
      </c>
      <c r="C8" s="20">
        <v>0.06</v>
      </c>
      <c r="D8" s="190">
        <f t="shared" si="0"/>
        <v>591.03599999999994</v>
      </c>
      <c r="E8" s="20">
        <v>0.42</v>
      </c>
      <c r="F8" s="190">
        <f t="shared" si="1"/>
        <v>248.23511999999997</v>
      </c>
      <c r="G8" s="20">
        <v>0.52</v>
      </c>
      <c r="H8" s="190">
        <f t="shared" si="2"/>
        <v>129.08226239999999</v>
      </c>
      <c r="I8" s="20">
        <v>0.08</v>
      </c>
      <c r="J8" s="250">
        <f t="shared" si="3"/>
        <v>10.326580992</v>
      </c>
      <c r="K8" s="250">
        <f t="shared" si="4"/>
        <v>118.75568140799999</v>
      </c>
      <c r="L8" s="43">
        <v>0.28999999999999998</v>
      </c>
      <c r="M8" s="251">
        <f t="shared" si="5"/>
        <v>2.9947084876799996</v>
      </c>
      <c r="N8" s="251">
        <f t="shared" si="6"/>
        <v>34.439147608319992</v>
      </c>
      <c r="O8" s="251">
        <v>21000</v>
      </c>
      <c r="P8" s="45">
        <v>1500</v>
      </c>
      <c r="Q8" s="45">
        <f t="shared" si="7"/>
        <v>216.85820083199999</v>
      </c>
      <c r="R8" s="45">
        <f t="shared" si="8"/>
        <v>178.13352211199998</v>
      </c>
      <c r="S8" s="45">
        <f t="shared" si="9"/>
        <v>62.88887824127999</v>
      </c>
      <c r="T8" s="45">
        <f t="shared" si="10"/>
        <v>51.658721412479984</v>
      </c>
      <c r="U8" s="45">
        <f t="shared" si="11"/>
        <v>153.96932259072</v>
      </c>
      <c r="V8" s="45">
        <f t="shared" si="12"/>
        <v>126.47480069951999</v>
      </c>
      <c r="W8" s="25">
        <f t="shared" si="13"/>
        <v>280.44412329023999</v>
      </c>
      <c r="X8" s="47"/>
      <c r="Y8" s="47"/>
    </row>
    <row r="9" spans="1:25" x14ac:dyDescent="0.25">
      <c r="A9" s="144" t="s">
        <v>8</v>
      </c>
      <c r="B9" s="190">
        <v>19485.599999999999</v>
      </c>
      <c r="C9" s="20">
        <v>0.06</v>
      </c>
      <c r="D9" s="190">
        <f t="shared" si="0"/>
        <v>1169.136</v>
      </c>
      <c r="E9" s="20">
        <v>0.42</v>
      </c>
      <c r="F9" s="190">
        <f t="shared" si="1"/>
        <v>491.03711999999996</v>
      </c>
      <c r="G9" s="20">
        <v>0.52</v>
      </c>
      <c r="H9" s="190">
        <f t="shared" si="2"/>
        <v>255.33930239999998</v>
      </c>
      <c r="I9" s="20">
        <v>0.08</v>
      </c>
      <c r="J9" s="250">
        <f t="shared" si="3"/>
        <v>20.427144192</v>
      </c>
      <c r="K9" s="250">
        <f t="shared" si="4"/>
        <v>234.91215820799999</v>
      </c>
      <c r="L9" s="43">
        <v>0.28999999999999998</v>
      </c>
      <c r="M9" s="251">
        <f t="shared" si="5"/>
        <v>5.9238718156799992</v>
      </c>
      <c r="N9" s="251">
        <f t="shared" si="6"/>
        <v>68.124525880319993</v>
      </c>
      <c r="O9" s="251">
        <v>21000</v>
      </c>
      <c r="P9" s="45">
        <v>1500</v>
      </c>
      <c r="Q9" s="45">
        <f t="shared" si="7"/>
        <v>428.97002803200002</v>
      </c>
      <c r="R9" s="45">
        <f t="shared" si="8"/>
        <v>352.36823731200002</v>
      </c>
      <c r="S9" s="45">
        <f t="shared" si="9"/>
        <v>124.40130812927998</v>
      </c>
      <c r="T9" s="45">
        <f t="shared" si="10"/>
        <v>102.18678882047999</v>
      </c>
      <c r="U9" s="45">
        <f t="shared" si="11"/>
        <v>304.56871990272003</v>
      </c>
      <c r="V9" s="45">
        <f t="shared" si="12"/>
        <v>250.18144849152003</v>
      </c>
      <c r="W9" s="25">
        <f t="shared" si="13"/>
        <v>554.75016839424006</v>
      </c>
      <c r="X9" s="47"/>
      <c r="Y9" s="47"/>
    </row>
    <row r="10" spans="1:25" x14ac:dyDescent="0.25">
      <c r="A10" s="144" t="s">
        <v>9</v>
      </c>
      <c r="B10" s="190">
        <v>819.6</v>
      </c>
      <c r="C10" s="20">
        <v>0.06</v>
      </c>
      <c r="D10" s="190">
        <f t="shared" si="0"/>
        <v>49.176000000000002</v>
      </c>
      <c r="E10" s="20">
        <v>0.42</v>
      </c>
      <c r="F10" s="190">
        <f t="shared" si="1"/>
        <v>20.653919999999999</v>
      </c>
      <c r="G10" s="20">
        <v>0.52</v>
      </c>
      <c r="H10" s="190">
        <f t="shared" si="2"/>
        <v>10.7400384</v>
      </c>
      <c r="I10" s="20">
        <v>0.08</v>
      </c>
      <c r="J10" s="250">
        <f t="shared" si="3"/>
        <v>0.85920307200000001</v>
      </c>
      <c r="K10" s="250">
        <f t="shared" si="4"/>
        <v>9.8808353279999999</v>
      </c>
      <c r="L10" s="43">
        <v>0.28999999999999998</v>
      </c>
      <c r="M10" s="251">
        <f t="shared" si="5"/>
        <v>0.24916889087999999</v>
      </c>
      <c r="N10" s="251">
        <f t="shared" si="6"/>
        <v>2.8654422451199997</v>
      </c>
      <c r="O10" s="251">
        <v>21000</v>
      </c>
      <c r="P10" s="45">
        <v>1500</v>
      </c>
      <c r="Q10" s="45">
        <f t="shared" si="7"/>
        <v>18.043264512</v>
      </c>
      <c r="R10" s="45">
        <f t="shared" si="8"/>
        <v>14.821252992</v>
      </c>
      <c r="S10" s="45">
        <f t="shared" si="9"/>
        <v>5.2325467084800001</v>
      </c>
      <c r="T10" s="45">
        <f t="shared" si="10"/>
        <v>4.2981633676799991</v>
      </c>
      <c r="U10" s="45">
        <f t="shared" si="11"/>
        <v>12.810717803519999</v>
      </c>
      <c r="V10" s="45">
        <f t="shared" si="12"/>
        <v>10.523089624320001</v>
      </c>
      <c r="W10" s="25">
        <f t="shared" si="13"/>
        <v>23.33380742784</v>
      </c>
      <c r="X10" s="47"/>
      <c r="Y10" s="47"/>
    </row>
    <row r="11" spans="1:25" x14ac:dyDescent="0.25">
      <c r="A11" s="144" t="s">
        <v>10</v>
      </c>
      <c r="B11" s="190">
        <v>3785</v>
      </c>
      <c r="C11" s="20">
        <v>0.06</v>
      </c>
      <c r="D11" s="190">
        <f t="shared" si="0"/>
        <v>227.1</v>
      </c>
      <c r="E11" s="20">
        <v>0.42</v>
      </c>
      <c r="F11" s="190">
        <f t="shared" si="1"/>
        <v>95.381999999999991</v>
      </c>
      <c r="G11" s="20">
        <v>0.52</v>
      </c>
      <c r="H11" s="190">
        <f t="shared" si="2"/>
        <v>49.598639999999996</v>
      </c>
      <c r="I11" s="20">
        <v>0.08</v>
      </c>
      <c r="J11" s="250">
        <f t="shared" si="3"/>
        <v>3.9678912</v>
      </c>
      <c r="K11" s="250">
        <f t="shared" si="4"/>
        <v>45.630748799999999</v>
      </c>
      <c r="L11" s="43">
        <v>0.28999999999999998</v>
      </c>
      <c r="M11" s="251">
        <f t="shared" si="5"/>
        <v>1.1506884479999999</v>
      </c>
      <c r="N11" s="251">
        <f t="shared" si="6"/>
        <v>13.232917151999999</v>
      </c>
      <c r="O11" s="251">
        <v>21000</v>
      </c>
      <c r="P11" s="45">
        <v>1500</v>
      </c>
      <c r="Q11" s="45">
        <f t="shared" si="7"/>
        <v>83.325715200000005</v>
      </c>
      <c r="R11" s="45">
        <f t="shared" si="8"/>
        <v>68.446123200000002</v>
      </c>
      <c r="S11" s="45">
        <f t="shared" si="9"/>
        <v>24.164457407999997</v>
      </c>
      <c r="T11" s="45">
        <f t="shared" si="10"/>
        <v>19.849375727999998</v>
      </c>
      <c r="U11" s="45">
        <f t="shared" si="11"/>
        <v>59.161257792000008</v>
      </c>
      <c r="V11" s="45">
        <f t="shared" si="12"/>
        <v>48.596747472000004</v>
      </c>
      <c r="W11" s="25">
        <f t="shared" si="13"/>
        <v>107.75800526400002</v>
      </c>
      <c r="X11" s="47"/>
      <c r="Y11" s="47"/>
    </row>
    <row r="12" spans="1:25" x14ac:dyDescent="0.25">
      <c r="A12" s="144" t="s">
        <v>11</v>
      </c>
      <c r="B12" s="190">
        <v>2018</v>
      </c>
      <c r="C12" s="20">
        <v>0.06</v>
      </c>
      <c r="D12" s="190">
        <f t="shared" si="0"/>
        <v>121.08</v>
      </c>
      <c r="E12" s="20">
        <v>0.42</v>
      </c>
      <c r="F12" s="190">
        <f t="shared" si="1"/>
        <v>50.8536</v>
      </c>
      <c r="G12" s="20">
        <v>0.52</v>
      </c>
      <c r="H12" s="190">
        <f t="shared" si="2"/>
        <v>26.443872000000002</v>
      </c>
      <c r="I12" s="20">
        <v>0.08</v>
      </c>
      <c r="J12" s="250">
        <f t="shared" si="3"/>
        <v>2.1155097600000001</v>
      </c>
      <c r="K12" s="250">
        <f t="shared" si="4"/>
        <v>24.328362240000004</v>
      </c>
      <c r="L12" s="43">
        <v>0.28999999999999998</v>
      </c>
      <c r="M12" s="251">
        <f t="shared" si="5"/>
        <v>0.61349783039999994</v>
      </c>
      <c r="N12" s="251">
        <f t="shared" si="6"/>
        <v>7.0552250496000006</v>
      </c>
      <c r="O12" s="251">
        <v>21000</v>
      </c>
      <c r="P12" s="45">
        <v>1500</v>
      </c>
      <c r="Q12" s="45">
        <f t="shared" si="7"/>
        <v>44.425704960000004</v>
      </c>
      <c r="R12" s="45">
        <f t="shared" si="8"/>
        <v>36.492543360000006</v>
      </c>
      <c r="S12" s="45">
        <f t="shared" si="9"/>
        <v>12.883454438399998</v>
      </c>
      <c r="T12" s="45">
        <f t="shared" si="10"/>
        <v>10.582837574400001</v>
      </c>
      <c r="U12" s="45">
        <f t="shared" si="11"/>
        <v>31.542250521600007</v>
      </c>
      <c r="V12" s="45">
        <f t="shared" si="12"/>
        <v>25.909705785600003</v>
      </c>
      <c r="W12" s="25">
        <f t="shared" si="13"/>
        <v>57.451956307200007</v>
      </c>
      <c r="X12" s="47"/>
      <c r="Y12" s="47"/>
    </row>
    <row r="13" spans="1:25" x14ac:dyDescent="0.25">
      <c r="A13" s="144" t="s">
        <v>12</v>
      </c>
      <c r="B13" s="190">
        <v>5883</v>
      </c>
      <c r="C13" s="20">
        <v>0.06</v>
      </c>
      <c r="D13" s="190">
        <f t="shared" si="0"/>
        <v>352.97999999999996</v>
      </c>
      <c r="E13" s="20">
        <v>0.42</v>
      </c>
      <c r="F13" s="190">
        <f t="shared" si="1"/>
        <v>148.25159999999997</v>
      </c>
      <c r="G13" s="20">
        <v>0.52</v>
      </c>
      <c r="H13" s="190">
        <f t="shared" si="2"/>
        <v>77.090831999999992</v>
      </c>
      <c r="I13" s="20">
        <v>0.08</v>
      </c>
      <c r="J13" s="250">
        <f t="shared" si="3"/>
        <v>6.1672665599999998</v>
      </c>
      <c r="K13" s="250">
        <f t="shared" si="4"/>
        <v>70.92356543999999</v>
      </c>
      <c r="L13" s="43">
        <v>0.28999999999999998</v>
      </c>
      <c r="M13" s="251">
        <f t="shared" si="5"/>
        <v>1.7885073023999998</v>
      </c>
      <c r="N13" s="251">
        <f t="shared" si="6"/>
        <v>20.567833977599996</v>
      </c>
      <c r="O13" s="251">
        <v>21000</v>
      </c>
      <c r="P13" s="45">
        <v>1500</v>
      </c>
      <c r="Q13" s="45">
        <f t="shared" si="7"/>
        <v>129.51259775999998</v>
      </c>
      <c r="R13" s="45">
        <f t="shared" si="8"/>
        <v>106.38534815999998</v>
      </c>
      <c r="S13" s="45">
        <f t="shared" si="9"/>
        <v>37.558653350399993</v>
      </c>
      <c r="T13" s="45">
        <f t="shared" si="10"/>
        <v>30.851750966399994</v>
      </c>
      <c r="U13" s="45">
        <f t="shared" si="11"/>
        <v>91.953944409599984</v>
      </c>
      <c r="V13" s="45">
        <f t="shared" si="12"/>
        <v>75.533597193599988</v>
      </c>
      <c r="W13" s="25">
        <f t="shared" si="13"/>
        <v>167.48754160319999</v>
      </c>
      <c r="X13" s="47"/>
      <c r="Y13" s="47"/>
    </row>
    <row r="14" spans="1:25" x14ac:dyDescent="0.25">
      <c r="A14" s="144" t="s">
        <v>13</v>
      </c>
      <c r="B14" s="190">
        <v>4927.2</v>
      </c>
      <c r="C14" s="20">
        <v>0.06</v>
      </c>
      <c r="D14" s="190">
        <f t="shared" si="0"/>
        <v>295.63200000000001</v>
      </c>
      <c r="E14" s="20">
        <v>0.42</v>
      </c>
      <c r="F14" s="190">
        <f t="shared" si="1"/>
        <v>124.16544</v>
      </c>
      <c r="G14" s="20">
        <v>0.52</v>
      </c>
      <c r="H14" s="190">
        <f t="shared" si="2"/>
        <v>64.566028799999998</v>
      </c>
      <c r="I14" s="20">
        <v>0.08</v>
      </c>
      <c r="J14" s="250">
        <f t="shared" si="3"/>
        <v>5.1652823039999998</v>
      </c>
      <c r="K14" s="250">
        <f t="shared" si="4"/>
        <v>59.400746495999996</v>
      </c>
      <c r="L14" s="43">
        <v>0.28999999999999998</v>
      </c>
      <c r="M14" s="251">
        <f t="shared" si="5"/>
        <v>1.4979318681599998</v>
      </c>
      <c r="N14" s="251">
        <f t="shared" si="6"/>
        <v>17.226216483839998</v>
      </c>
      <c r="O14" s="251">
        <v>21000</v>
      </c>
      <c r="P14" s="45">
        <v>1500</v>
      </c>
      <c r="Q14" s="45">
        <f t="shared" si="7"/>
        <v>108.470928384</v>
      </c>
      <c r="R14" s="45">
        <f t="shared" si="8"/>
        <v>89.101119744000002</v>
      </c>
      <c r="S14" s="45">
        <f t="shared" si="9"/>
        <v>31.456569231359993</v>
      </c>
      <c r="T14" s="45">
        <f t="shared" si="10"/>
        <v>25.839324725759997</v>
      </c>
      <c r="U14" s="45">
        <f t="shared" si="11"/>
        <v>77.014359152640012</v>
      </c>
      <c r="V14" s="45">
        <f t="shared" si="12"/>
        <v>63.261795018240008</v>
      </c>
      <c r="W14" s="25">
        <f t="shared" si="13"/>
        <v>140.27615417088003</v>
      </c>
      <c r="X14" s="47"/>
      <c r="Y14" s="47"/>
    </row>
    <row r="15" spans="1:25" x14ac:dyDescent="0.25">
      <c r="A15" s="144" t="s">
        <v>14</v>
      </c>
      <c r="B15" s="190">
        <v>1450.2</v>
      </c>
      <c r="C15" s="20">
        <v>0.06</v>
      </c>
      <c r="D15" s="190">
        <f t="shared" si="0"/>
        <v>87.012</v>
      </c>
      <c r="E15" s="20">
        <v>0.42</v>
      </c>
      <c r="F15" s="190">
        <f t="shared" si="1"/>
        <v>36.54504</v>
      </c>
      <c r="G15" s="20">
        <v>0.52</v>
      </c>
      <c r="H15" s="190">
        <f t="shared" si="2"/>
        <v>19.003420800000001</v>
      </c>
      <c r="I15" s="20">
        <v>0.08</v>
      </c>
      <c r="J15" s="250">
        <f t="shared" si="3"/>
        <v>1.5202736640000001</v>
      </c>
      <c r="K15" s="250">
        <f t="shared" si="4"/>
        <v>17.483147135999999</v>
      </c>
      <c r="L15" s="43">
        <v>0.28999999999999998</v>
      </c>
      <c r="M15" s="251">
        <f t="shared" si="5"/>
        <v>0.44087936255999999</v>
      </c>
      <c r="N15" s="251">
        <f t="shared" si="6"/>
        <v>5.0701126694399994</v>
      </c>
      <c r="O15" s="251">
        <v>21000</v>
      </c>
      <c r="P15" s="45">
        <v>1500</v>
      </c>
      <c r="Q15" s="45">
        <f t="shared" si="7"/>
        <v>31.925746944000004</v>
      </c>
      <c r="R15" s="45">
        <f t="shared" si="8"/>
        <v>26.224720703999999</v>
      </c>
      <c r="S15" s="45">
        <f t="shared" si="9"/>
        <v>9.2584666137599996</v>
      </c>
      <c r="T15" s="45">
        <f t="shared" si="10"/>
        <v>7.6051690041599995</v>
      </c>
      <c r="U15" s="45">
        <f t="shared" si="11"/>
        <v>22.667280330240004</v>
      </c>
      <c r="V15" s="45">
        <f t="shared" si="12"/>
        <v>18.619551699839999</v>
      </c>
      <c r="W15" s="25">
        <f t="shared" si="13"/>
        <v>41.286832030080006</v>
      </c>
      <c r="X15" s="47"/>
      <c r="Y15" s="47"/>
    </row>
    <row r="16" spans="1:25" x14ac:dyDescent="0.25">
      <c r="A16" s="144" t="s">
        <v>15</v>
      </c>
      <c r="B16" s="190">
        <v>1799.2</v>
      </c>
      <c r="C16" s="20">
        <v>0.06</v>
      </c>
      <c r="D16" s="190">
        <f t="shared" si="0"/>
        <v>107.952</v>
      </c>
      <c r="E16" s="20">
        <v>0.42</v>
      </c>
      <c r="F16" s="190">
        <f t="shared" si="1"/>
        <v>45.339839999999995</v>
      </c>
      <c r="G16" s="20">
        <v>0.52</v>
      </c>
      <c r="H16" s="190">
        <f t="shared" si="2"/>
        <v>23.5767168</v>
      </c>
      <c r="I16" s="20">
        <v>0.08</v>
      </c>
      <c r="J16" s="250">
        <f t="shared" si="3"/>
        <v>1.886137344</v>
      </c>
      <c r="K16" s="250">
        <f t="shared" si="4"/>
        <v>21.690579455999998</v>
      </c>
      <c r="L16" s="43">
        <v>0.28999999999999998</v>
      </c>
      <c r="M16" s="251">
        <f t="shared" si="5"/>
        <v>0.54697982975999992</v>
      </c>
      <c r="N16" s="251">
        <f t="shared" si="6"/>
        <v>6.2902680422399992</v>
      </c>
      <c r="O16" s="251">
        <v>21000</v>
      </c>
      <c r="P16" s="45">
        <v>1500</v>
      </c>
      <c r="Q16" s="45">
        <f t="shared" si="7"/>
        <v>39.608884224000001</v>
      </c>
      <c r="R16" s="45">
        <f t="shared" si="8"/>
        <v>32.535869183999992</v>
      </c>
      <c r="S16" s="45">
        <f t="shared" si="9"/>
        <v>11.486576424959997</v>
      </c>
      <c r="T16" s="45">
        <f t="shared" si="10"/>
        <v>9.4354020633599998</v>
      </c>
      <c r="U16" s="45">
        <f t="shared" si="11"/>
        <v>28.122307799040001</v>
      </c>
      <c r="V16" s="45">
        <f t="shared" si="12"/>
        <v>23.100467120639991</v>
      </c>
      <c r="W16" s="25">
        <f t="shared" si="13"/>
        <v>51.222774919679992</v>
      </c>
      <c r="X16" s="47"/>
      <c r="Y16" s="47"/>
    </row>
    <row r="17" spans="1:25" x14ac:dyDescent="0.25">
      <c r="A17" s="144" t="s">
        <v>16</v>
      </c>
      <c r="B17" s="190">
        <v>7980.8</v>
      </c>
      <c r="C17" s="20">
        <v>0.06</v>
      </c>
      <c r="D17" s="190">
        <f t="shared" si="0"/>
        <v>478.84800000000001</v>
      </c>
      <c r="E17" s="20">
        <v>0.42</v>
      </c>
      <c r="F17" s="190">
        <f t="shared" si="1"/>
        <v>201.11616000000001</v>
      </c>
      <c r="G17" s="20">
        <v>0.52</v>
      </c>
      <c r="H17" s="190">
        <f t="shared" si="2"/>
        <v>104.58040320000001</v>
      </c>
      <c r="I17" s="20">
        <v>0.08</v>
      </c>
      <c r="J17" s="250">
        <f t="shared" si="3"/>
        <v>8.3664322560000013</v>
      </c>
      <c r="K17" s="250">
        <f t="shared" si="4"/>
        <v>96.21397094400001</v>
      </c>
      <c r="L17" s="43">
        <v>0.28999999999999998</v>
      </c>
      <c r="M17" s="251">
        <f t="shared" si="5"/>
        <v>2.4262653542400003</v>
      </c>
      <c r="N17" s="251">
        <f t="shared" si="6"/>
        <v>27.902051573760001</v>
      </c>
      <c r="O17" s="251">
        <v>21000</v>
      </c>
      <c r="P17" s="45">
        <v>1500</v>
      </c>
      <c r="Q17" s="45">
        <f t="shared" si="7"/>
        <v>175.69507737600003</v>
      </c>
      <c r="R17" s="45">
        <f t="shared" si="8"/>
        <v>144.32095641600003</v>
      </c>
      <c r="S17" s="45">
        <f t="shared" si="9"/>
        <v>50.951572439040007</v>
      </c>
      <c r="T17" s="45">
        <f t="shared" si="10"/>
        <v>41.85307736064</v>
      </c>
      <c r="U17" s="45">
        <f t="shared" si="11"/>
        <v>124.74350493696002</v>
      </c>
      <c r="V17" s="45">
        <f t="shared" si="12"/>
        <v>102.46787905536003</v>
      </c>
      <c r="W17" s="25">
        <f t="shared" si="13"/>
        <v>227.21138399232007</v>
      </c>
      <c r="X17" s="47"/>
      <c r="Y17" s="47"/>
    </row>
    <row r="18" spans="1:25" x14ac:dyDescent="0.25">
      <c r="A18" s="144" t="s">
        <v>17</v>
      </c>
      <c r="B18" s="190">
        <v>2399</v>
      </c>
      <c r="C18" s="20">
        <v>0.06</v>
      </c>
      <c r="D18" s="190">
        <f t="shared" si="0"/>
        <v>143.94</v>
      </c>
      <c r="E18" s="20">
        <v>0.42</v>
      </c>
      <c r="F18" s="190">
        <f t="shared" si="1"/>
        <v>60.454799999999999</v>
      </c>
      <c r="G18" s="20">
        <v>0.52</v>
      </c>
      <c r="H18" s="190">
        <f t="shared" si="2"/>
        <v>31.436496000000002</v>
      </c>
      <c r="I18" s="20">
        <v>0.08</v>
      </c>
      <c r="J18" s="250">
        <f t="shared" si="3"/>
        <v>2.5149196800000002</v>
      </c>
      <c r="K18" s="250">
        <f t="shared" si="4"/>
        <v>28.92157632</v>
      </c>
      <c r="L18" s="44">
        <v>0.28999999999999998</v>
      </c>
      <c r="M18" s="251">
        <f t="shared" si="5"/>
        <v>0.72932670720000004</v>
      </c>
      <c r="N18" s="251">
        <f t="shared" si="6"/>
        <v>8.3872571327999985</v>
      </c>
      <c r="O18" s="251">
        <v>21000</v>
      </c>
      <c r="P18" s="45">
        <v>1500</v>
      </c>
      <c r="Q18" s="45">
        <f t="shared" si="7"/>
        <v>52.813313280000003</v>
      </c>
      <c r="R18" s="45">
        <f t="shared" si="8"/>
        <v>43.38236448</v>
      </c>
      <c r="S18" s="45">
        <f t="shared" si="9"/>
        <v>15.315860851200002</v>
      </c>
      <c r="T18" s="45">
        <f t="shared" si="10"/>
        <v>12.580885699199998</v>
      </c>
      <c r="U18" s="45">
        <f t="shared" si="11"/>
        <v>37.497452428800003</v>
      </c>
      <c r="V18" s="45">
        <f t="shared" si="12"/>
        <v>30.801478780800004</v>
      </c>
      <c r="W18" s="25">
        <f t="shared" si="13"/>
        <v>68.298931209599999</v>
      </c>
      <c r="X18" s="47"/>
      <c r="Y18" s="47"/>
    </row>
    <row r="19" spans="1:25" x14ac:dyDescent="0.25">
      <c r="A19" s="179"/>
      <c r="B19" s="192"/>
      <c r="C19" s="254"/>
      <c r="D19" s="192"/>
      <c r="E19" s="254"/>
      <c r="F19" s="192"/>
      <c r="G19" s="254"/>
      <c r="H19" s="192"/>
      <c r="I19" s="254"/>
      <c r="J19" s="255"/>
      <c r="K19" s="255"/>
      <c r="L19" s="254"/>
      <c r="M19" s="255"/>
      <c r="N19" s="255"/>
      <c r="O19" s="255"/>
      <c r="P19" s="256"/>
      <c r="Q19" s="256"/>
      <c r="R19" s="256"/>
      <c r="S19" s="256"/>
      <c r="T19" s="256"/>
      <c r="U19" s="256"/>
      <c r="V19" s="256"/>
      <c r="W19" s="256"/>
      <c r="X19" s="47"/>
      <c r="Y19" s="47"/>
    </row>
    <row r="20" spans="1:25" x14ac:dyDescent="0.25">
      <c r="A20" s="54" t="s">
        <v>399</v>
      </c>
      <c r="B20" s="257"/>
      <c r="C20" s="258"/>
      <c r="D20" s="257"/>
      <c r="E20" s="258"/>
      <c r="F20" s="257"/>
      <c r="G20" s="258"/>
      <c r="H20" s="257"/>
      <c r="I20" s="258"/>
      <c r="J20" s="259"/>
      <c r="K20" s="259"/>
      <c r="L20" s="258"/>
      <c r="M20" s="259"/>
      <c r="N20" s="259"/>
      <c r="O20" s="259"/>
      <c r="P20" s="260"/>
      <c r="Q20" s="260"/>
      <c r="R20" s="260"/>
      <c r="S20" s="260"/>
      <c r="T20" s="260"/>
      <c r="U20" s="260"/>
      <c r="V20" s="260"/>
      <c r="W20" s="261"/>
      <c r="X20" s="47"/>
      <c r="Y20" s="47"/>
    </row>
    <row r="21" spans="1:25" x14ac:dyDescent="0.25">
      <c r="A21" s="179"/>
      <c r="B21" s="192"/>
      <c r="C21" s="254"/>
      <c r="D21" s="192"/>
      <c r="E21" s="254"/>
      <c r="F21" s="192"/>
      <c r="G21" s="254"/>
      <c r="H21" s="192"/>
      <c r="I21" s="254"/>
      <c r="J21" s="255"/>
      <c r="K21" s="255"/>
      <c r="L21" s="254"/>
      <c r="M21" s="255"/>
      <c r="N21" s="255"/>
      <c r="O21" s="255"/>
      <c r="P21" s="256"/>
      <c r="Q21" s="256"/>
      <c r="R21" s="256"/>
      <c r="S21" s="256"/>
      <c r="T21" s="256"/>
      <c r="U21" s="256"/>
      <c r="V21" s="256"/>
      <c r="W21" s="256"/>
      <c r="X21" s="47"/>
      <c r="Y21" s="47"/>
    </row>
    <row r="22" spans="1:25" x14ac:dyDescent="0.25">
      <c r="A22" s="54" t="s">
        <v>400</v>
      </c>
      <c r="B22" s="257"/>
      <c r="C22" s="258"/>
      <c r="D22" s="257"/>
      <c r="E22" s="258"/>
      <c r="F22" s="257"/>
      <c r="G22" s="258"/>
      <c r="H22" s="257"/>
      <c r="I22" s="258"/>
      <c r="J22" s="259"/>
      <c r="K22" s="259"/>
      <c r="L22" s="258"/>
      <c r="M22" s="259"/>
      <c r="N22" s="259"/>
      <c r="O22" s="259"/>
      <c r="P22" s="260"/>
      <c r="Q22" s="260"/>
      <c r="R22" s="260"/>
      <c r="S22" s="260"/>
      <c r="T22" s="260"/>
      <c r="U22" s="260"/>
      <c r="V22" s="260"/>
      <c r="W22" s="261"/>
      <c r="X22" s="47"/>
      <c r="Y22" s="47"/>
    </row>
    <row r="23" spans="1:25" x14ac:dyDescent="0.25">
      <c r="A23" s="179"/>
      <c r="B23" s="192"/>
      <c r="C23" s="254"/>
      <c r="D23" s="192"/>
      <c r="E23" s="254"/>
      <c r="F23" s="192"/>
      <c r="G23" s="254"/>
      <c r="H23" s="192"/>
      <c r="I23" s="254"/>
      <c r="J23" s="255"/>
      <c r="K23" s="255"/>
      <c r="L23" s="254"/>
      <c r="M23" s="255"/>
      <c r="N23" s="255"/>
      <c r="O23" s="255"/>
      <c r="P23" s="256"/>
      <c r="Q23" s="256"/>
      <c r="R23" s="256"/>
      <c r="S23" s="256"/>
      <c r="T23" s="256"/>
      <c r="U23" s="256"/>
      <c r="V23" s="256"/>
      <c r="W23" s="256"/>
      <c r="X23" s="47"/>
      <c r="Y23" s="47"/>
    </row>
    <row r="24" spans="1:25" x14ac:dyDescent="0.25">
      <c r="A24" s="54" t="s">
        <v>401</v>
      </c>
      <c r="B24" s="257"/>
      <c r="C24" s="258"/>
      <c r="D24" s="257"/>
      <c r="E24" s="258"/>
      <c r="F24" s="257"/>
      <c r="G24" s="258"/>
      <c r="H24" s="257"/>
      <c r="I24" s="258"/>
      <c r="J24" s="259"/>
      <c r="K24" s="259"/>
      <c r="L24" s="258"/>
      <c r="M24" s="259"/>
      <c r="N24" s="259"/>
      <c r="O24" s="259"/>
      <c r="P24" s="260"/>
      <c r="Q24" s="260"/>
      <c r="R24" s="260"/>
      <c r="S24" s="260"/>
      <c r="T24" s="260"/>
      <c r="U24" s="260"/>
      <c r="V24" s="260"/>
      <c r="W24" s="261"/>
      <c r="X24" s="47"/>
      <c r="Y24" s="47"/>
    </row>
    <row r="25" spans="1:25" x14ac:dyDescent="0.25">
      <c r="A25" s="186"/>
      <c r="B25" s="192"/>
      <c r="C25" s="254"/>
      <c r="D25" s="192"/>
      <c r="E25" s="254"/>
      <c r="F25" s="192"/>
      <c r="G25" s="254"/>
      <c r="H25" s="192"/>
      <c r="I25" s="254"/>
      <c r="J25" s="255"/>
      <c r="K25" s="255"/>
      <c r="L25" s="254"/>
      <c r="M25" s="255"/>
      <c r="N25" s="255"/>
      <c r="O25" s="255"/>
      <c r="P25" s="256"/>
      <c r="Q25" s="256"/>
      <c r="R25" s="256"/>
      <c r="S25" s="256"/>
      <c r="T25" s="256"/>
      <c r="U25" s="256"/>
      <c r="V25" s="256"/>
      <c r="W25" s="256"/>
      <c r="X25" s="47"/>
      <c r="Y25" s="47"/>
    </row>
    <row r="26" spans="1:25" x14ac:dyDescent="0.25">
      <c r="A26" s="54" t="s">
        <v>402</v>
      </c>
      <c r="B26" s="257"/>
      <c r="C26" s="258"/>
      <c r="D26" s="257"/>
      <c r="E26" s="258"/>
      <c r="F26" s="257"/>
      <c r="G26" s="258"/>
      <c r="H26" s="257"/>
      <c r="I26" s="258"/>
      <c r="J26" s="259"/>
      <c r="K26" s="259"/>
      <c r="L26" s="258"/>
      <c r="M26" s="259"/>
      <c r="N26" s="259"/>
      <c r="O26" s="259"/>
      <c r="P26" s="260"/>
      <c r="Q26" s="260"/>
      <c r="R26" s="260"/>
      <c r="S26" s="260"/>
      <c r="T26" s="260"/>
      <c r="U26" s="260"/>
      <c r="V26" s="260"/>
      <c r="W26" s="261"/>
      <c r="X26" s="47"/>
      <c r="Y26" s="47"/>
    </row>
    <row r="27" spans="1:25" x14ac:dyDescent="0.25">
      <c r="A27" s="186"/>
      <c r="B27" s="192"/>
      <c r="C27" s="254"/>
      <c r="D27" s="192"/>
      <c r="E27" s="254"/>
      <c r="F27" s="192"/>
      <c r="G27" s="254"/>
      <c r="H27" s="192"/>
      <c r="I27" s="254"/>
      <c r="J27" s="255"/>
      <c r="K27" s="255"/>
      <c r="L27" s="254"/>
      <c r="M27" s="255"/>
      <c r="N27" s="255"/>
      <c r="O27" s="255"/>
      <c r="P27" s="256"/>
      <c r="Q27" s="256"/>
      <c r="R27" s="256"/>
      <c r="S27" s="256"/>
      <c r="T27" s="256"/>
      <c r="U27" s="256"/>
      <c r="V27" s="256"/>
      <c r="W27" s="256"/>
      <c r="X27" s="47"/>
      <c r="Y27" s="47"/>
    </row>
    <row r="28" spans="1:25" x14ac:dyDescent="0.25">
      <c r="A28" s="54" t="s">
        <v>403</v>
      </c>
      <c r="B28" s="257"/>
      <c r="C28" s="258"/>
      <c r="D28" s="257"/>
      <c r="E28" s="258"/>
      <c r="F28" s="257"/>
      <c r="G28" s="258"/>
      <c r="H28" s="257"/>
      <c r="I28" s="258"/>
      <c r="J28" s="259"/>
      <c r="K28" s="259"/>
      <c r="L28" s="258"/>
      <c r="M28" s="259"/>
      <c r="N28" s="259"/>
      <c r="O28" s="259"/>
      <c r="P28" s="260"/>
      <c r="Q28" s="260"/>
      <c r="R28" s="260"/>
      <c r="S28" s="260"/>
      <c r="T28" s="260"/>
      <c r="U28" s="260"/>
      <c r="V28" s="260"/>
      <c r="W28" s="261"/>
      <c r="X28" s="47"/>
      <c r="Y28" s="47"/>
    </row>
    <row r="29" spans="1:25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90" zoomScaleNormal="90" workbookViewId="0">
      <pane xSplit="1" topLeftCell="B1" activePane="topRight" state="frozen"/>
      <selection pane="topRight" activeCell="F33" sqref="F33"/>
    </sheetView>
  </sheetViews>
  <sheetFormatPr defaultRowHeight="15" x14ac:dyDescent="0.25"/>
  <cols>
    <col min="1" max="1" width="16.140625" customWidth="1"/>
    <col min="2" max="2" width="25.140625" customWidth="1"/>
    <col min="3" max="3" width="24.28515625" customWidth="1"/>
    <col min="4" max="4" width="23.140625" customWidth="1"/>
    <col min="5" max="5" width="20.28515625" customWidth="1"/>
    <col min="6" max="6" width="16.5703125" customWidth="1"/>
    <col min="7" max="7" width="17.28515625" customWidth="1"/>
    <col min="8" max="8" width="19.85546875" customWidth="1"/>
    <col min="9" max="9" width="17.28515625" customWidth="1"/>
    <col min="10" max="11" width="11.85546875" customWidth="1"/>
    <col min="12" max="12" width="11.7109375" bestFit="1" customWidth="1"/>
  </cols>
  <sheetData>
    <row r="1" spans="1:12" ht="60.75" customHeight="1" x14ac:dyDescent="0.25">
      <c r="A1" s="225" t="s">
        <v>128</v>
      </c>
      <c r="B1" s="225" t="s">
        <v>415</v>
      </c>
      <c r="C1" s="225" t="s">
        <v>405</v>
      </c>
      <c r="D1" s="225" t="s">
        <v>406</v>
      </c>
      <c r="E1" s="225" t="s">
        <v>407</v>
      </c>
      <c r="F1" s="225" t="s">
        <v>408</v>
      </c>
      <c r="G1" s="225" t="s">
        <v>409</v>
      </c>
      <c r="H1" s="225" t="s">
        <v>410</v>
      </c>
      <c r="I1" s="225" t="s">
        <v>411</v>
      </c>
      <c r="J1" s="225" t="s">
        <v>412</v>
      </c>
      <c r="K1" s="225" t="s">
        <v>413</v>
      </c>
      <c r="L1" s="266" t="s">
        <v>417</v>
      </c>
    </row>
    <row r="2" spans="1:12" x14ac:dyDescent="0.25">
      <c r="A2" s="246"/>
      <c r="B2" s="247" t="s">
        <v>65</v>
      </c>
      <c r="C2" s="264" t="s">
        <v>404</v>
      </c>
      <c r="D2" s="247" t="s">
        <v>404</v>
      </c>
      <c r="E2" s="247" t="s">
        <v>85</v>
      </c>
      <c r="F2" s="247" t="s">
        <v>85</v>
      </c>
      <c r="G2" s="247" t="s">
        <v>404</v>
      </c>
      <c r="H2" s="247" t="s">
        <v>85</v>
      </c>
      <c r="I2" s="247" t="s">
        <v>85</v>
      </c>
      <c r="J2" s="247" t="s">
        <v>85</v>
      </c>
      <c r="K2" s="248" t="s">
        <v>85</v>
      </c>
      <c r="L2" s="248" t="s">
        <v>85</v>
      </c>
    </row>
    <row r="3" spans="1:12" x14ac:dyDescent="0.25">
      <c r="A3" s="131">
        <v>2020</v>
      </c>
      <c r="B3" s="64">
        <f>'5.1.1 Nakłady lata'!U2</f>
        <v>187662.57604732487</v>
      </c>
      <c r="C3" s="265">
        <v>9.1999999999999998E-3</v>
      </c>
      <c r="D3" s="265">
        <v>7.4999999999999997E-3</v>
      </c>
      <c r="E3" s="64">
        <f>'5.1.4 Luka kapitał'!Q2</f>
        <v>1724.791670784</v>
      </c>
      <c r="F3" s="64">
        <f>'5.1.4 Luka kapitał'!R2</f>
        <v>1416.7931581439998</v>
      </c>
      <c r="G3" s="235">
        <v>0.28999999999999998</v>
      </c>
      <c r="H3" s="236">
        <f>'5.1.4 Luka kapitał'!S2</f>
        <v>500.40920337407988</v>
      </c>
      <c r="I3" s="237">
        <f>'5.1.4 Luka kapitał'!T2</f>
        <v>411.0504170572799</v>
      </c>
      <c r="J3" s="237">
        <f>'5.1.4 Luka kapitał'!U2</f>
        <v>1224.3824674099201</v>
      </c>
      <c r="K3" s="238">
        <f>'5.1.4 Luka kapitał'!V2</f>
        <v>1005.7427410867199</v>
      </c>
      <c r="L3" s="267">
        <f>SUM(Tabela1619[[#This Row],[Luka kapitałowa - faza wzrostu]:[Luka kapitałowa - faza wczesna]])</f>
        <v>2230.12520849664</v>
      </c>
    </row>
    <row r="4" spans="1:12" x14ac:dyDescent="0.25">
      <c r="A4" s="131">
        <v>2021</v>
      </c>
      <c r="B4" s="64">
        <f>'5.1.1 Nakłady lata'!U3</f>
        <v>199266.9938602749</v>
      </c>
      <c r="C4" s="265">
        <v>9.1999999999999998E-3</v>
      </c>
      <c r="D4" s="265">
        <v>7.4999999999999997E-3</v>
      </c>
      <c r="E4" s="64">
        <f>Tabela1619[[#This Row],[Nakłady łącznie MŚP (w mln zł)]]*Tabela1619[[#This Row],[Odsetek zapotrzebowania na finansowanie kapitałowe - faza wzrostu]]</f>
        <v>1833.2563435145291</v>
      </c>
      <c r="F4" s="64">
        <f>Tabela1619[[#This Row],[Nakłady łącznie MŚP (w mln zł)]]*Tabela1619[[#This Row],[Odsetek zapotrzebowania na finansowanie kapitałowe - faza wczesna]]</f>
        <v>1494.5024539520616</v>
      </c>
      <c r="G4" s="235">
        <v>0.28999999999999998</v>
      </c>
      <c r="H4" s="236">
        <f>Tabela1619[[#This Row],[Watość zapotrzebowania - faza wzrostu]]*Tabela1619[[#This Row],[Odsetek uzyskujących finansowanie]]</f>
        <v>531.64433961921338</v>
      </c>
      <c r="I4" s="237">
        <f>Tabela1619[[#This Row],[Watość zapotrzebowania - faza wzrostu2]]*Tabela1619[[#This Row],[Odsetek uzyskujących finansowanie]]</f>
        <v>433.40571164609781</v>
      </c>
      <c r="J4" s="237">
        <f>Tabela1619[[#This Row],[Watość zapotrzebowania - faza wzrostu]]-Tabela1619[[#This Row],[Uzyskane finansowanie - faza wzrostu]]</f>
        <v>1301.6120038953159</v>
      </c>
      <c r="K4" s="238">
        <f>Tabela1619[[#This Row],[Watość zapotrzebowania - faza wzrostu2]]-Tabela1619[[#This Row],[Uzyskane finansowanie - faza wczesna]]</f>
        <v>1061.0967423059637</v>
      </c>
      <c r="L4" s="267">
        <f>SUM(Tabela1619[[#This Row],[Luka kapitałowa - faza wzrostu]:[Luka kapitałowa - faza wczesna]])</f>
        <v>2362.7087462012796</v>
      </c>
    </row>
    <row r="5" spans="1:12" x14ac:dyDescent="0.25">
      <c r="A5" s="131">
        <v>2022</v>
      </c>
      <c r="B5" s="64">
        <f>'5.1.1 Nakłady lata'!U4</f>
        <v>211580.84042902337</v>
      </c>
      <c r="C5" s="265">
        <v>9.1999999999999998E-3</v>
      </c>
      <c r="D5" s="265">
        <v>7.4999999999999997E-3</v>
      </c>
      <c r="E5" s="64">
        <f>Tabela1619[[#This Row],[Nakłady łącznie MŚP (w mln zł)]]*Tabela1619[[#This Row],[Odsetek zapotrzebowania na finansowanie kapitałowe - faza wzrostu]]</f>
        <v>1946.543731947015</v>
      </c>
      <c r="F5" s="64">
        <f>Tabela1619[[#This Row],[Nakłady łącznie MŚP (w mln zł)]]*Tabela1619[[#This Row],[Odsetek zapotrzebowania na finansowanie kapitałowe - faza wczesna]]</f>
        <v>1586.8563032176753</v>
      </c>
      <c r="G5" s="235">
        <v>0.28999999999999998</v>
      </c>
      <c r="H5" s="236">
        <f>Tabela1619[[#This Row],[Watość zapotrzebowania - faza wzrostu]]*Tabela1619[[#This Row],[Odsetek uzyskujących finansowanie]]</f>
        <v>564.49768226463425</v>
      </c>
      <c r="I5" s="237">
        <f>Tabela1619[[#This Row],[Watość zapotrzebowania - faza wzrostu2]]*Tabela1619[[#This Row],[Odsetek uzyskujących finansowanie]]</f>
        <v>460.18832793312583</v>
      </c>
      <c r="J5" s="237">
        <f>Tabela1619[[#This Row],[Watość zapotrzebowania - faza wzrostu]]-Tabela1619[[#This Row],[Uzyskane finansowanie - faza wzrostu]]</f>
        <v>1382.0460496823807</v>
      </c>
      <c r="K5" s="238">
        <f>Tabela1619[[#This Row],[Watość zapotrzebowania - faza wzrostu2]]-Tabela1619[[#This Row],[Uzyskane finansowanie - faza wczesna]]</f>
        <v>1126.6679752845494</v>
      </c>
      <c r="L5" s="267">
        <f>SUM(Tabela1619[[#This Row],[Luka kapitałowa - faza wzrostu]:[Luka kapitałowa - faza wczesna]])</f>
        <v>2508.7140249669301</v>
      </c>
    </row>
    <row r="6" spans="1:12" x14ac:dyDescent="0.25">
      <c r="A6" s="131">
        <v>2023</v>
      </c>
      <c r="B6" s="64">
        <f>'5.1.1 Nakłady lata'!U5</f>
        <v>224647.13961279893</v>
      </c>
      <c r="C6" s="265">
        <v>9.1999999999999998E-3</v>
      </c>
      <c r="D6" s="265">
        <v>7.4999999999999997E-3</v>
      </c>
      <c r="E6" s="64">
        <f>Tabela1619[[#This Row],[Nakłady łącznie MŚP (w mln zł)]]*Tabela1619[[#This Row],[Odsetek zapotrzebowania na finansowanie kapitałowe - faza wzrostu]]</f>
        <v>2066.7536844377501</v>
      </c>
      <c r="F6" s="64">
        <f>Tabela1619[[#This Row],[Nakłady łącznie MŚP (w mln zł)]]*Tabela1619[[#This Row],[Odsetek zapotrzebowania na finansowanie kapitałowe - faza wczesna]]</f>
        <v>1684.8535470959919</v>
      </c>
      <c r="G6" s="235">
        <v>0.28999999999999998</v>
      </c>
      <c r="H6" s="236">
        <f>Tabela1619[[#This Row],[Watość zapotrzebowania - faza wzrostu]]*Tabela1619[[#This Row],[Odsetek uzyskujących finansowanie]]</f>
        <v>599.35856848694743</v>
      </c>
      <c r="I6" s="237">
        <f>Tabela1619[[#This Row],[Watość zapotrzebowania - faza wzrostu2]]*Tabela1619[[#This Row],[Odsetek uzyskujących finansowanie]]</f>
        <v>488.60752865783763</v>
      </c>
      <c r="J6" s="237">
        <f>Tabela1619[[#This Row],[Watość zapotrzebowania - faza wzrostu]]-Tabela1619[[#This Row],[Uzyskane finansowanie - faza wzrostu]]</f>
        <v>1467.3951159508026</v>
      </c>
      <c r="K6" s="238">
        <f>Tabela1619[[#This Row],[Watość zapotrzebowania - faza wzrostu2]]-Tabela1619[[#This Row],[Uzyskane finansowanie - faza wczesna]]</f>
        <v>1196.2460184381544</v>
      </c>
      <c r="L6" s="267">
        <f>SUM(Tabela1619[[#This Row],[Luka kapitałowa - faza wzrostu]:[Luka kapitałowa - faza wczesna]])</f>
        <v>2663.6411343889567</v>
      </c>
    </row>
    <row r="7" spans="1:12" x14ac:dyDescent="0.25">
      <c r="A7" s="131">
        <v>2024</v>
      </c>
      <c r="B7" s="64">
        <f>'5.1.1 Nakłady lata'!U6</f>
        <v>238511.50618325063</v>
      </c>
      <c r="C7" s="265">
        <v>9.1999999999999998E-3</v>
      </c>
      <c r="D7" s="265">
        <v>7.4999999999999997E-3</v>
      </c>
      <c r="E7" s="64">
        <f>Tabela1619[[#This Row],[Nakłady łącznie MŚP (w mln zł)]]*Tabela1619[[#This Row],[Odsetek zapotrzebowania na finansowanie kapitałowe - faza wzrostu]]</f>
        <v>2194.305856885906</v>
      </c>
      <c r="F7" s="64">
        <f>Tabela1619[[#This Row],[Nakłady łącznie MŚP (w mln zł)]]*Tabela1619[[#This Row],[Odsetek zapotrzebowania na finansowanie kapitałowe - faza wczesna]]</f>
        <v>1788.8362963743796</v>
      </c>
      <c r="G7" s="235">
        <v>0.28999999999999998</v>
      </c>
      <c r="H7" s="236">
        <f>Tabela1619[[#This Row],[Watość zapotrzebowania - faza wzrostu]]*Tabela1619[[#This Row],[Odsetek uzyskujących finansowanie]]</f>
        <v>636.34869849691268</v>
      </c>
      <c r="I7" s="237">
        <f>Tabela1619[[#This Row],[Watość zapotrzebowania - faza wzrostu2]]*Tabela1619[[#This Row],[Odsetek uzyskujących finansowanie]]</f>
        <v>518.76252594856999</v>
      </c>
      <c r="J7" s="237">
        <f>Tabela1619[[#This Row],[Watość zapotrzebowania - faza wzrostu]]-Tabela1619[[#This Row],[Uzyskane finansowanie - faza wzrostu]]</f>
        <v>1557.9571583889933</v>
      </c>
      <c r="K7" s="238">
        <f>Tabela1619[[#This Row],[Watość zapotrzebowania - faza wzrostu2]]-Tabela1619[[#This Row],[Uzyskane finansowanie - faza wczesna]]</f>
        <v>1270.0737704258095</v>
      </c>
      <c r="L7" s="267">
        <f>SUM(Tabela1619[[#This Row],[Luka kapitałowa - faza wzrostu]:[Luka kapitałowa - faza wczesna]])</f>
        <v>2828.0309288148028</v>
      </c>
    </row>
    <row r="8" spans="1:12" x14ac:dyDescent="0.25">
      <c r="A8" s="131">
        <v>2025</v>
      </c>
      <c r="B8" s="64">
        <f>'5.1.1 Nakłady lata'!U7</f>
        <v>253222.30450524885</v>
      </c>
      <c r="C8" s="265">
        <v>9.1999999999999998E-3</v>
      </c>
      <c r="D8" s="265">
        <v>7.4999999999999997E-3</v>
      </c>
      <c r="E8" s="64">
        <f>Tabela1619[[#This Row],[Nakłady łącznie MŚP (w mln zł)]]*Tabela1619[[#This Row],[Odsetek zapotrzebowania na finansowanie kapitałowe - faza wzrostu]]</f>
        <v>2329.6452014482893</v>
      </c>
      <c r="F8" s="64">
        <f>Tabela1619[[#This Row],[Nakłady łącznie MŚP (w mln zł)]]*Tabela1619[[#This Row],[Odsetek zapotrzebowania na finansowanie kapitałowe - faza wczesna]]</f>
        <v>1899.1672837893664</v>
      </c>
      <c r="G8" s="235">
        <v>0.28999999999999998</v>
      </c>
      <c r="H8" s="236">
        <f>Tabela1619[[#This Row],[Watość zapotrzebowania - faza wzrostu]]*Tabela1619[[#This Row],[Odsetek uzyskujących finansowanie]]</f>
        <v>675.59710842000391</v>
      </c>
      <c r="I8" s="237">
        <f>Tabela1619[[#This Row],[Watość zapotrzebowania - faza wzrostu2]]*Tabela1619[[#This Row],[Odsetek uzyskujących finansowanie]]</f>
        <v>550.75851229891623</v>
      </c>
      <c r="J8" s="237">
        <f>Tabela1619[[#This Row],[Watość zapotrzebowania - faza wzrostu]]-Tabela1619[[#This Row],[Uzyskane finansowanie - faza wzrostu]]</f>
        <v>1654.0480930282854</v>
      </c>
      <c r="K8" s="238">
        <f>Tabela1619[[#This Row],[Watość zapotrzebowania - faza wzrostu2]]-Tabela1619[[#This Row],[Uzyskane finansowanie - faza wczesna]]</f>
        <v>1348.4087714904501</v>
      </c>
      <c r="L8" s="267">
        <f>SUM(Tabela1619[[#This Row],[Luka kapitałowa - faza wzrostu]:[Luka kapitałowa - faza wczesna]])</f>
        <v>3002.4568645187355</v>
      </c>
    </row>
    <row r="9" spans="1:12" x14ac:dyDescent="0.25">
      <c r="A9" s="131">
        <v>2026</v>
      </c>
      <c r="B9" s="64">
        <f>'5.1.1 Nakłady lata'!U8</f>
        <v>268830.81361413415</v>
      </c>
      <c r="C9" s="265">
        <v>9.1999999999999998E-3</v>
      </c>
      <c r="D9" s="265">
        <v>7.4999999999999997E-3</v>
      </c>
      <c r="E9" s="64">
        <f>Tabela1619[[#This Row],[Nakłady łącznie MŚP (w mln zł)]]*Tabela1619[[#This Row],[Odsetek zapotrzebowania na finansowanie kapitałowe - faza wzrostu]]</f>
        <v>2473.2434852500342</v>
      </c>
      <c r="F9" s="64">
        <f>Tabela1619[[#This Row],[Nakłady łącznie MŚP (w mln zł)]]*Tabela1619[[#This Row],[Odsetek zapotrzebowania na finansowanie kapitałowe - faza wczesna]]</f>
        <v>2016.2311021060061</v>
      </c>
      <c r="G9" s="235">
        <v>0.28999999999999998</v>
      </c>
      <c r="H9" s="236">
        <f>Tabela1619[[#This Row],[Watość zapotrzebowania - faza wzrostu]]*Tabela1619[[#This Row],[Odsetek uzyskujących finansowanie]]</f>
        <v>717.24061072250981</v>
      </c>
      <c r="I9" s="237">
        <f>Tabela1619[[#This Row],[Watość zapotrzebowania - faza wzrostu2]]*Tabela1619[[#This Row],[Odsetek uzyskujących finansowanie]]</f>
        <v>584.70701961074178</v>
      </c>
      <c r="J9" s="237">
        <f>Tabela1619[[#This Row],[Watość zapotrzebowania - faza wzrostu]]-Tabela1619[[#This Row],[Uzyskane finansowanie - faza wzrostu]]</f>
        <v>1756.0028745275245</v>
      </c>
      <c r="K9" s="238">
        <f>Tabela1619[[#This Row],[Watość zapotrzebowania - faza wzrostu2]]-Tabela1619[[#This Row],[Uzyskane finansowanie - faza wczesna]]</f>
        <v>1431.5240824952643</v>
      </c>
      <c r="L9" s="267">
        <f>SUM(Tabela1619[[#This Row],[Luka kapitałowa - faza wzrostu]:[Luka kapitałowa - faza wczesna]])</f>
        <v>3187.5269570227888</v>
      </c>
    </row>
    <row r="10" spans="1:12" x14ac:dyDescent="0.25">
      <c r="A10" s="131">
        <v>2027</v>
      </c>
      <c r="B10" s="64">
        <f>'5.1.1 Nakłady lata'!U9</f>
        <v>285391.40217599901</v>
      </c>
      <c r="C10" s="265">
        <v>9.1999999999999998E-3</v>
      </c>
      <c r="D10" s="265">
        <v>7.4999999999999997E-3</v>
      </c>
      <c r="E10" s="64">
        <f>Tabela1619[[#This Row],[Nakłady łącznie MŚP (w mln zł)]]*Tabela1619[[#This Row],[Odsetek zapotrzebowania na finansowanie kapitałowe - faza wzrostu]]</f>
        <v>2625.6009000191907</v>
      </c>
      <c r="F10" s="64">
        <f>Tabela1619[[#This Row],[Nakłady łącznie MŚP (w mln zł)]]*Tabela1619[[#This Row],[Odsetek zapotrzebowania na finansowanie kapitałowe - faza wczesna]]</f>
        <v>2140.4355163199925</v>
      </c>
      <c r="G10" s="235">
        <v>0.28999999999999998</v>
      </c>
      <c r="H10" s="236">
        <f>Tabela1619[[#This Row],[Watość zapotrzebowania - faza wzrostu]]*Tabela1619[[#This Row],[Odsetek uzyskujących finansowanie]]</f>
        <v>761.4242610055652</v>
      </c>
      <c r="I10" s="237">
        <f>Tabela1619[[#This Row],[Watość zapotrzebowania - faza wzrostu2]]*Tabela1619[[#This Row],[Odsetek uzyskujących finansowanie]]</f>
        <v>620.72629973279777</v>
      </c>
      <c r="J10" s="237">
        <f>Tabela1619[[#This Row],[Watość zapotrzebowania - faza wzrostu]]-Tabela1619[[#This Row],[Uzyskane finansowanie - faza wzrostu]]</f>
        <v>1864.1766390136254</v>
      </c>
      <c r="K10" s="238">
        <f>Tabela1619[[#This Row],[Watość zapotrzebowania - faza wzrostu2]]-Tabela1619[[#This Row],[Uzyskane finansowanie - faza wczesna]]</f>
        <v>1519.7092165871948</v>
      </c>
      <c r="L10" s="267">
        <f>SUM(Tabela1619[[#This Row],[Luka kapitałowa - faza wzrostu]:[Luka kapitałowa - faza wczesna]])</f>
        <v>3383.8858556008199</v>
      </c>
    </row>
    <row r="11" spans="1:12" x14ac:dyDescent="0.25">
      <c r="A11" s="131">
        <v>2028</v>
      </c>
      <c r="B11" s="64">
        <f>'5.1.1 Nakłady lata'!U10</f>
        <v>302961.71392157022</v>
      </c>
      <c r="C11" s="265">
        <v>9.1999999999999998E-3</v>
      </c>
      <c r="D11" s="265">
        <v>7.4999999999999997E-3</v>
      </c>
      <c r="E11" s="64">
        <f>Tabela1619[[#This Row],[Nakłady łącznie MŚP (w mln zł)]]*Tabela1619[[#This Row],[Odsetek zapotrzebowania na finansowanie kapitałowe - faza wzrostu]]</f>
        <v>2787.2477680784459</v>
      </c>
      <c r="F11" s="64">
        <f>Tabela1619[[#This Row],[Nakłady łącznie MŚP (w mln zł)]]*Tabela1619[[#This Row],[Odsetek zapotrzebowania na finansowanie kapitałowe - faza wczesna]]</f>
        <v>2272.2128544117763</v>
      </c>
      <c r="G11" s="235">
        <v>0.28999999999999998</v>
      </c>
      <c r="H11" s="236">
        <f>Tabela1619[[#This Row],[Watość zapotrzebowania - faza wzrostu]]*Tabela1619[[#This Row],[Odsetek uzyskujących finansowanie]]</f>
        <v>808.30185274274925</v>
      </c>
      <c r="I11" s="237">
        <f>Tabela1619[[#This Row],[Watość zapotrzebowania - faza wzrostu2]]*Tabela1619[[#This Row],[Odsetek uzyskujących finansowanie]]</f>
        <v>658.94172777941515</v>
      </c>
      <c r="J11" s="237">
        <f>Tabela1619[[#This Row],[Watość zapotrzebowania - faza wzrostu]]-Tabela1619[[#This Row],[Uzyskane finansowanie - faza wzrostu]]</f>
        <v>1978.9459153356966</v>
      </c>
      <c r="K11" s="238">
        <f>Tabela1619[[#This Row],[Watość zapotrzebowania - faza wzrostu2]]-Tabela1619[[#This Row],[Uzyskane finansowanie - faza wczesna]]</f>
        <v>1613.2711266323613</v>
      </c>
      <c r="L11" s="267">
        <f>SUM(Tabela1619[[#This Row],[Luka kapitałowa - faza wzrostu]:[Luka kapitałowa - faza wczesna]])</f>
        <v>3592.2170419680579</v>
      </c>
    </row>
    <row r="12" spans="1:12" x14ac:dyDescent="0.25">
      <c r="A12" s="131">
        <v>2029</v>
      </c>
      <c r="B12" s="64">
        <f>'5.1.1 Nakłady lata'!U11</f>
        <v>321602.86417950736</v>
      </c>
      <c r="C12" s="265">
        <v>9.1999999999999998E-3</v>
      </c>
      <c r="D12" s="265">
        <v>7.4999999999999997E-3</v>
      </c>
      <c r="E12" s="64">
        <f>Tabela1619[[#This Row],[Nakłady łącznie MŚP (w mln zł)]]*Tabela1619[[#This Row],[Odsetek zapotrzebowania na finansowanie kapitałowe - faza wzrostu]]</f>
        <v>2958.7463504514676</v>
      </c>
      <c r="F12" s="64">
        <f>Tabela1619[[#This Row],[Nakłady łącznie MŚP (w mln zł)]]*Tabela1619[[#This Row],[Odsetek zapotrzebowania na finansowanie kapitałowe - faza wczesna]]</f>
        <v>2412.0214813463053</v>
      </c>
      <c r="G12" s="235">
        <v>0.28999999999999998</v>
      </c>
      <c r="H12" s="236">
        <f>Tabela1619[[#This Row],[Watość zapotrzebowania - faza wzrostu]]*Tabela1619[[#This Row],[Odsetek uzyskujących finansowanie]]</f>
        <v>858.03644163092554</v>
      </c>
      <c r="I12" s="237">
        <f>Tabela1619[[#This Row],[Watość zapotrzebowania - faza wzrostu2]]*Tabela1619[[#This Row],[Odsetek uzyskujących finansowanie]]</f>
        <v>699.48622959042848</v>
      </c>
      <c r="J12" s="237">
        <f>Tabela1619[[#This Row],[Watość zapotrzebowania - faza wzrostu]]-Tabela1619[[#This Row],[Uzyskane finansowanie - faza wzrostu]]</f>
        <v>2100.7099088205423</v>
      </c>
      <c r="K12" s="238">
        <f>Tabela1619[[#This Row],[Watość zapotrzebowania - faza wzrostu2]]-Tabela1619[[#This Row],[Uzyskane finansowanie - faza wczesna]]</f>
        <v>1712.5352517558767</v>
      </c>
      <c r="L12" s="267">
        <f>SUM(Tabela1619[[#This Row],[Luka kapitałowa - faza wzrostu]:[Luka kapitałowa - faza wczesna]])</f>
        <v>3813.245160576419</v>
      </c>
    </row>
    <row r="13" spans="1:12" s="47" customFormat="1" x14ac:dyDescent="0.25">
      <c r="A13" s="134" t="s">
        <v>65</v>
      </c>
      <c r="B13" s="213">
        <f>SUM(B3:B12)</f>
        <v>2493678.1545291324</v>
      </c>
      <c r="C13" s="213">
        <f t="shared" ref="C13" si="0">SUBTOTAL(109,C12)</f>
        <v>9.1999999999999998E-3</v>
      </c>
      <c r="D13" s="213"/>
      <c r="E13" s="213">
        <f>SUBTOTAL(109,E2:E12)</f>
        <v>22940.134992816627</v>
      </c>
      <c r="F13" s="213">
        <f>SUBTOTAL(109,F2:F12)</f>
        <v>18711.909996757557</v>
      </c>
      <c r="G13" s="213"/>
      <c r="H13" s="213">
        <f>SUBTOTAL(109,H2:H12)</f>
        <v>6652.858766763542</v>
      </c>
      <c r="I13" s="242">
        <f>SUBTOTAL(109,I2:I12)</f>
        <v>5426.6343002552112</v>
      </c>
      <c r="J13" s="242">
        <f>SUBTOTAL(109,J2:J12)</f>
        <v>16287.276226053087</v>
      </c>
      <c r="K13" s="243">
        <f>SUBTOTAL(109,K2:K12)</f>
        <v>13285.275696502345</v>
      </c>
      <c r="L13" s="267">
        <f>SUM(Tabela1619[[#This Row],[Luka kapitałowa - faza wzrostu]:[Luka kapitałowa - faza wczesna]])</f>
        <v>29572.551922555431</v>
      </c>
    </row>
    <row r="15" spans="1:12" x14ac:dyDescent="0.25">
      <c r="A15" s="33" t="s">
        <v>416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1"/>
    </row>
    <row r="17" spans="1:12" x14ac:dyDescent="0.25">
      <c r="A17" s="33" t="s">
        <v>414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1"/>
    </row>
  </sheetData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7"/>
  <sheetViews>
    <sheetView workbookViewId="0">
      <selection sqref="A1:M1"/>
    </sheetView>
  </sheetViews>
  <sheetFormatPr defaultRowHeight="15" x14ac:dyDescent="0.25"/>
  <cols>
    <col min="1" max="1" width="29" style="15" customWidth="1"/>
    <col min="2" max="2" width="15.42578125" style="15" customWidth="1"/>
    <col min="3" max="5" width="11.28515625" style="15" customWidth="1"/>
    <col min="6" max="6" width="10.85546875" style="15" customWidth="1"/>
    <col min="7" max="8" width="10.140625" style="15" customWidth="1"/>
    <col min="9" max="9" width="11.7109375" style="15" customWidth="1"/>
    <col min="10" max="10" width="10.5703125" style="15" customWidth="1"/>
    <col min="11" max="16384" width="9.140625" style="15"/>
  </cols>
  <sheetData>
    <row r="1" spans="1:13" ht="15.75" thickBot="1" x14ac:dyDescent="0.3">
      <c r="A1" s="230" t="s">
        <v>95</v>
      </c>
      <c r="B1" s="231" t="s">
        <v>186</v>
      </c>
      <c r="C1" s="231" t="s">
        <v>187</v>
      </c>
      <c r="D1" s="231" t="s">
        <v>188</v>
      </c>
      <c r="E1" s="231" t="s">
        <v>189</v>
      </c>
      <c r="F1" s="231" t="s">
        <v>190</v>
      </c>
      <c r="G1" s="231" t="s">
        <v>191</v>
      </c>
      <c r="H1" s="231" t="s">
        <v>192</v>
      </c>
      <c r="I1" s="231" t="s">
        <v>193</v>
      </c>
      <c r="J1" s="231" t="s">
        <v>194</v>
      </c>
      <c r="K1" s="231" t="s">
        <v>195</v>
      </c>
      <c r="L1" s="231" t="s">
        <v>196</v>
      </c>
      <c r="M1" s="231" t="s">
        <v>197</v>
      </c>
    </row>
    <row r="2" spans="1:13" ht="15.75" thickTop="1" x14ac:dyDescent="0.25">
      <c r="A2" s="118"/>
      <c r="B2" s="128">
        <v>8.0000000000000002E-3</v>
      </c>
      <c r="C2" s="129">
        <v>8.0000000000000002E-3</v>
      </c>
      <c r="D2" s="129">
        <f>B2+0.05%</f>
        <v>8.5000000000000006E-3</v>
      </c>
      <c r="E2" s="129">
        <f t="shared" ref="E2:L2" si="0">D2+0.05%</f>
        <v>9.0000000000000011E-3</v>
      </c>
      <c r="F2" s="129">
        <f t="shared" si="0"/>
        <v>9.5000000000000015E-3</v>
      </c>
      <c r="G2" s="129">
        <f t="shared" si="0"/>
        <v>1.0000000000000002E-2</v>
      </c>
      <c r="H2" s="129">
        <f t="shared" si="0"/>
        <v>1.0500000000000002E-2</v>
      </c>
      <c r="I2" s="129">
        <f t="shared" si="0"/>
        <v>1.1000000000000003E-2</v>
      </c>
      <c r="J2" s="129">
        <f t="shared" si="0"/>
        <v>1.1500000000000003E-2</v>
      </c>
      <c r="K2" s="129">
        <f t="shared" si="0"/>
        <v>1.2000000000000004E-2</v>
      </c>
      <c r="L2" s="129">
        <f t="shared" si="0"/>
        <v>1.2500000000000004E-2</v>
      </c>
      <c r="M2" s="130">
        <v>1.2999999999999999E-2</v>
      </c>
    </row>
    <row r="3" spans="1:13" x14ac:dyDescent="0.25">
      <c r="A3" s="118"/>
      <c r="B3" s="120" t="s">
        <v>85</v>
      </c>
      <c r="C3" s="120" t="s">
        <v>85</v>
      </c>
      <c r="D3" s="120" t="s">
        <v>85</v>
      </c>
      <c r="E3" s="120" t="s">
        <v>85</v>
      </c>
      <c r="F3" s="120" t="s">
        <v>85</v>
      </c>
      <c r="G3" s="120" t="s">
        <v>85</v>
      </c>
      <c r="H3" s="120" t="s">
        <v>85</v>
      </c>
      <c r="I3" s="120" t="s">
        <v>85</v>
      </c>
      <c r="J3" s="120" t="s">
        <v>85</v>
      </c>
      <c r="K3" s="120" t="s">
        <v>85</v>
      </c>
      <c r="L3" s="120" t="s">
        <v>85</v>
      </c>
      <c r="M3" s="121" t="s">
        <v>85</v>
      </c>
    </row>
    <row r="4" spans="1:13" x14ac:dyDescent="0.25">
      <c r="A4" s="122" t="s">
        <v>1</v>
      </c>
      <c r="B4" s="123">
        <f>B$2*'5.1.1 PKB'!C4</f>
        <v>17598.813440000002</v>
      </c>
      <c r="C4" s="123">
        <f>C$2*'5.1.1 PKB'!D4</f>
        <v>18197.173096959999</v>
      </c>
      <c r="D4" s="123">
        <f>D$2*'5.1.1 PKB'!E4</f>
        <v>20301.221236296005</v>
      </c>
      <c r="E4" s="123">
        <f>E$2*'5.1.1 PKB'!F4</f>
        <v>22570.181256823205</v>
      </c>
      <c r="F4" s="123">
        <f>F$2*'5.1.1 PKB'!G4</f>
        <v>25015.284226312389</v>
      </c>
      <c r="G4" s="123">
        <f>G$2*'5.1.1 PKB'!H4</f>
        <v>27648.47203960843</v>
      </c>
      <c r="H4" s="123">
        <f>H$2*'5.1.1 PKB'!I4</f>
        <v>30482.440423668297</v>
      </c>
      <c r="I4" s="123">
        <f>I$2*'5.1.1 PKB'!J4</f>
        <v>33530.684466035127</v>
      </c>
      <c r="J4" s="123">
        <f>J$2*'5.1.1 PKB'!K4</f>
        <v>36807.546811579479</v>
      </c>
      <c r="K4" s="123">
        <f>K$2*'5.1.1 PKB'!L4</f>
        <v>40328.268680513167</v>
      </c>
      <c r="L4" s="123">
        <f>L$2*'5.1.1 PKB'!M4</f>
        <v>44109.043869311281</v>
      </c>
      <c r="M4" s="124">
        <f>M$2*'5.1.1 PKB'!N4</f>
        <v>48167.075905287908</v>
      </c>
    </row>
    <row r="5" spans="1:13" x14ac:dyDescent="0.25">
      <c r="A5" s="122" t="s">
        <v>2</v>
      </c>
      <c r="B5" s="123">
        <f>B$2*'5.1.1 PKB'!C5</f>
        <v>1458.9619200000002</v>
      </c>
      <c r="C5" s="123">
        <f>C$2*'5.1.1 PKB'!D5</f>
        <v>1508.5666252800004</v>
      </c>
      <c r="D5" s="123">
        <f>D$2*'5.1.1 PKB'!E5</f>
        <v>1682.9946413280006</v>
      </c>
      <c r="E5" s="123">
        <f>E$2*'5.1.1 PKB'!F5</f>
        <v>1871.0940424176006</v>
      </c>
      <c r="F5" s="123">
        <f>F$2*'5.1.1 PKB'!G5</f>
        <v>2073.7958970128411</v>
      </c>
      <c r="G5" s="123">
        <f>G$2*'5.1.1 PKB'!H5</f>
        <v>2292.0902019615614</v>
      </c>
      <c r="H5" s="123">
        <f>H$2*'5.1.1 PKB'!I5</f>
        <v>2527.0294476626214</v>
      </c>
      <c r="I5" s="123">
        <f>I$2*'5.1.1 PKB'!J5</f>
        <v>2779.7323924288839</v>
      </c>
      <c r="J5" s="123">
        <f>J$2*'5.1.1 PKB'!K5</f>
        <v>3051.3880580526161</v>
      </c>
      <c r="K5" s="123">
        <f>K$2*'5.1.1 PKB'!L5</f>
        <v>3343.2599592576489</v>
      </c>
      <c r="L5" s="123">
        <f>L$2*'5.1.1 PKB'!M5</f>
        <v>3656.690580438054</v>
      </c>
      <c r="M5" s="124">
        <f>M$2*'5.1.1 PKB'!N5</f>
        <v>3993.1061138383534</v>
      </c>
    </row>
    <row r="6" spans="1:13" x14ac:dyDescent="0.25">
      <c r="A6" s="122" t="s">
        <v>3</v>
      </c>
      <c r="B6" s="123">
        <f>B$2*'5.1.1 PKB'!C6</f>
        <v>773.42720000000008</v>
      </c>
      <c r="C6" s="123">
        <f>C$2*'5.1.1 PKB'!D6</f>
        <v>799.72372480000013</v>
      </c>
      <c r="D6" s="123">
        <f>D$2*'5.1.1 PKB'!E6</f>
        <v>892.19178048000026</v>
      </c>
      <c r="E6" s="123">
        <f>E$2*'5.1.1 PKB'!F6</f>
        <v>991.90733241600026</v>
      </c>
      <c r="F6" s="123">
        <f>F$2*'5.1.1 PKB'!G6</f>
        <v>1099.3639600944005</v>
      </c>
      <c r="G6" s="123">
        <f>G$2*'5.1.1 PKB'!H6</f>
        <v>1215.0864822096005</v>
      </c>
      <c r="H6" s="123">
        <f>H$2*'5.1.1 PKB'!I6</f>
        <v>1339.6328466360849</v>
      </c>
      <c r="I6" s="123">
        <f>I$2*'5.1.1 PKB'!J6</f>
        <v>1473.5961312996933</v>
      </c>
      <c r="J6" s="123">
        <f>J$2*'5.1.1 PKB'!K6</f>
        <v>1617.6066623130725</v>
      </c>
      <c r="K6" s="123">
        <f>K$2*'5.1.1 PKB'!L6</f>
        <v>1772.3342560995407</v>
      </c>
      <c r="L6" s="123">
        <f>L$2*'5.1.1 PKB'!M6</f>
        <v>1938.4905926088725</v>
      </c>
      <c r="M6" s="124">
        <f>M$2*'5.1.1 PKB'!N6</f>
        <v>2116.8317271288884</v>
      </c>
    </row>
    <row r="7" spans="1:13" x14ac:dyDescent="0.25">
      <c r="A7" s="122" t="s">
        <v>4</v>
      </c>
      <c r="B7" s="123">
        <f>B$2*'5.1.1 PKB'!C7</f>
        <v>654.87552000000005</v>
      </c>
      <c r="C7" s="123">
        <f>C$2*'5.1.1 PKB'!D7</f>
        <v>677.14128768000012</v>
      </c>
      <c r="D7" s="123">
        <f>D$2*'5.1.1 PKB'!E7</f>
        <v>755.43574906800018</v>
      </c>
      <c r="E7" s="123">
        <f>E$2*'5.1.1 PKB'!F7</f>
        <v>839.86680337560028</v>
      </c>
      <c r="F7" s="123">
        <f>F$2*'5.1.1 PKB'!G7</f>
        <v>930.85237374129042</v>
      </c>
      <c r="G7" s="123">
        <f>G$2*'5.1.1 PKB'!H7</f>
        <v>1028.8368341351106</v>
      </c>
      <c r="H7" s="123">
        <f>H$2*'5.1.1 PKB'!I7</f>
        <v>1134.2926096339595</v>
      </c>
      <c r="I7" s="123">
        <f>I$2*'5.1.1 PKB'!J7</f>
        <v>1247.7218705973555</v>
      </c>
      <c r="J7" s="123">
        <f>J$2*'5.1.1 PKB'!K7</f>
        <v>1369.6583261330061</v>
      </c>
      <c r="K7" s="123">
        <f>K$2*'5.1.1 PKB'!L7</f>
        <v>1500.6691225457287</v>
      </c>
      <c r="L7" s="123">
        <f>L$2*'5.1.1 PKB'!M7</f>
        <v>1641.3568527843906</v>
      </c>
      <c r="M7" s="124">
        <f>M$2*'5.1.1 PKB'!N7</f>
        <v>1792.3616832405539</v>
      </c>
    </row>
    <row r="8" spans="1:13" x14ac:dyDescent="0.25">
      <c r="A8" s="122" t="s">
        <v>5</v>
      </c>
      <c r="B8" s="123">
        <f>B$2*'5.1.1 PKB'!C8</f>
        <v>382.85311999999999</v>
      </c>
      <c r="C8" s="123">
        <f>C$2*'5.1.1 PKB'!D8</f>
        <v>395.87012608000003</v>
      </c>
      <c r="D8" s="123">
        <f>D$2*'5.1.1 PKB'!E8</f>
        <v>441.64260940800011</v>
      </c>
      <c r="E8" s="123">
        <f>E$2*'5.1.1 PKB'!F8</f>
        <v>491.00266575360018</v>
      </c>
      <c r="F8" s="123">
        <f>F$2*'5.1.1 PKB'!G8</f>
        <v>544.19462121024026</v>
      </c>
      <c r="G8" s="123">
        <f>G$2*'5.1.1 PKB'!H8</f>
        <v>601.47826554816027</v>
      </c>
      <c r="H8" s="123">
        <f>H$2*'5.1.1 PKB'!I8</f>
        <v>663.12978776684679</v>
      </c>
      <c r="I8" s="123">
        <f>I$2*'5.1.1 PKB'!J8</f>
        <v>729.44276654353155</v>
      </c>
      <c r="J8" s="123">
        <f>J$2*'5.1.1 PKB'!K8</f>
        <v>800.72921872846757</v>
      </c>
      <c r="K8" s="123">
        <f>K$2*'5.1.1 PKB'!L8</f>
        <v>877.32070921553861</v>
      </c>
      <c r="L8" s="123">
        <f>L$2*'5.1.1 PKB'!M8</f>
        <v>959.56952570449539</v>
      </c>
      <c r="M8" s="124">
        <f>M$2*'5.1.1 PKB'!N8</f>
        <v>1047.8499220693086</v>
      </c>
    </row>
    <row r="9" spans="1:13" x14ac:dyDescent="0.25">
      <c r="A9" s="122" t="s">
        <v>6</v>
      </c>
      <c r="B9" s="123">
        <f>B$2*'5.1.1 PKB'!C9</f>
        <v>1051.7395200000001</v>
      </c>
      <c r="C9" s="123">
        <f>C$2*'5.1.1 PKB'!D9</f>
        <v>1087.4986636799999</v>
      </c>
      <c r="D9" s="123">
        <f>D$2*'5.1.1 PKB'!E9</f>
        <v>1213.2406966680001</v>
      </c>
      <c r="E9" s="123">
        <f>E$2*'5.1.1 PKB'!F9</f>
        <v>1348.8381862956003</v>
      </c>
      <c r="F9" s="123">
        <f>F$2*'5.1.1 PKB'!G9</f>
        <v>1494.9623231442906</v>
      </c>
      <c r="G9" s="123">
        <f>G$2*'5.1.1 PKB'!H9</f>
        <v>1652.3267782121109</v>
      </c>
      <c r="H9" s="123">
        <f>H$2*'5.1.1 PKB'!I9</f>
        <v>1821.6902729788524</v>
      </c>
      <c r="I9" s="123">
        <f>I$2*'5.1.1 PKB'!J9</f>
        <v>2003.8593002767379</v>
      </c>
      <c r="J9" s="123">
        <f>J$2*'5.1.1 PKB'!K9</f>
        <v>2199.691004621965</v>
      </c>
      <c r="K9" s="123">
        <f>K$2*'5.1.1 PKB'!L9</f>
        <v>2410.0962311510225</v>
      </c>
      <c r="L9" s="123">
        <f>L$2*'5.1.1 PKB'!M9</f>
        <v>2636.0427528214313</v>
      </c>
      <c r="M9" s="124">
        <f>M$2*'5.1.1 PKB'!N9</f>
        <v>2878.5586860810022</v>
      </c>
    </row>
    <row r="10" spans="1:13" x14ac:dyDescent="0.25">
      <c r="A10" s="122" t="s">
        <v>7</v>
      </c>
      <c r="B10" s="123">
        <f>B$2*'5.1.1 PKB'!C10</f>
        <v>1433.3612800000001</v>
      </c>
      <c r="C10" s="123">
        <f>C$2*'5.1.1 PKB'!D10</f>
        <v>1482.09556352</v>
      </c>
      <c r="D10" s="123">
        <f>D$2*'5.1.1 PKB'!E10</f>
        <v>1653.4628630520003</v>
      </c>
      <c r="E10" s="123">
        <f>E$2*'5.1.1 PKB'!F10</f>
        <v>1838.2616536284006</v>
      </c>
      <c r="F10" s="123">
        <f>F$2*'5.1.1 PKB'!G10</f>
        <v>2037.4066661048109</v>
      </c>
      <c r="G10" s="123">
        <f>G$2*'5.1.1 PKB'!H10</f>
        <v>2251.870525694791</v>
      </c>
      <c r="H10" s="123">
        <f>H$2*'5.1.1 PKB'!I10</f>
        <v>2482.6872545785072</v>
      </c>
      <c r="I10" s="123">
        <f>I$2*'5.1.1 PKB'!J10</f>
        <v>2730.9559800363581</v>
      </c>
      <c r="J10" s="123">
        <f>J$2*'5.1.1 PKB'!K10</f>
        <v>2997.8448599035478</v>
      </c>
      <c r="K10" s="123">
        <f>K$2*'5.1.1 PKB'!L10</f>
        <v>3284.5952378073657</v>
      </c>
      <c r="L10" s="123">
        <f>L$2*'5.1.1 PKB'!M10</f>
        <v>3592.5260413518063</v>
      </c>
      <c r="M10" s="124">
        <f>M$2*'5.1.1 PKB'!N10</f>
        <v>3923.0384371561713</v>
      </c>
    </row>
    <row r="11" spans="1:13" x14ac:dyDescent="0.25">
      <c r="A11" s="122" t="s">
        <v>8</v>
      </c>
      <c r="B11" s="123">
        <f>B$2*'5.1.1 PKB'!C11</f>
        <v>3978.0332800000006</v>
      </c>
      <c r="C11" s="123">
        <f>C$2*'5.1.1 PKB'!D11</f>
        <v>4113.2864115200009</v>
      </c>
      <c r="D11" s="123">
        <f>D$2*'5.1.1 PKB'!E11</f>
        <v>4588.8851528520008</v>
      </c>
      <c r="E11" s="123">
        <f>E$2*'5.1.1 PKB'!F11</f>
        <v>5101.7605522884014</v>
      </c>
      <c r="F11" s="123">
        <f>F$2*'5.1.1 PKB'!G11</f>
        <v>5654.4512787863123</v>
      </c>
      <c r="G11" s="123">
        <f>G$2*'5.1.1 PKB'!H11</f>
        <v>6249.6566765532925</v>
      </c>
      <c r="H11" s="123">
        <f>H$2*'5.1.1 PKB'!I11</f>
        <v>6890.2464859000056</v>
      </c>
      <c r="I11" s="123">
        <f>I$2*'5.1.1 PKB'!J11</f>
        <v>7579.2711344900072</v>
      </c>
      <c r="J11" s="123">
        <f>J$2*'5.1.1 PKB'!K11</f>
        <v>8319.9726317242585</v>
      </c>
      <c r="K11" s="123">
        <f>K$2*'5.1.1 PKB'!L11</f>
        <v>9115.7961008457096</v>
      </c>
      <c r="L11" s="123">
        <f>L$2*'5.1.1 PKB'!M11</f>
        <v>9970.4019852999954</v>
      </c>
      <c r="M11" s="124">
        <f>M$2*'5.1.1 PKB'!N11</f>
        <v>10887.678967947591</v>
      </c>
    </row>
    <row r="12" spans="1:13" x14ac:dyDescent="0.25">
      <c r="A12" s="122" t="s">
        <v>9</v>
      </c>
      <c r="B12" s="123">
        <f>B$2*'5.1.1 PKB'!C12</f>
        <v>359.32416000000006</v>
      </c>
      <c r="C12" s="123">
        <f>C$2*'5.1.1 PKB'!D12</f>
        <v>371.54118144000006</v>
      </c>
      <c r="D12" s="123">
        <f>D$2*'5.1.1 PKB'!E12</f>
        <v>414.50063054400016</v>
      </c>
      <c r="E12" s="123">
        <f>E$2*'5.1.1 PKB'!F12</f>
        <v>460.82717160480018</v>
      </c>
      <c r="F12" s="123">
        <f>F$2*'5.1.1 PKB'!G12</f>
        <v>510.75011519532029</v>
      </c>
      <c r="G12" s="123">
        <f>G$2*'5.1.1 PKB'!H12</f>
        <v>564.51328521588039</v>
      </c>
      <c r="H12" s="123">
        <f>H$2*'5.1.1 PKB'!I12</f>
        <v>622.37589695050815</v>
      </c>
      <c r="I12" s="123">
        <f>I$2*'5.1.1 PKB'!J12</f>
        <v>684.61348664555896</v>
      </c>
      <c r="J12" s="123">
        <f>J$2*'5.1.1 PKB'!K12</f>
        <v>751.51889556773858</v>
      </c>
      <c r="K12" s="123">
        <f>K$2*'5.1.1 PKB'!L12</f>
        <v>823.40331166552232</v>
      </c>
      <c r="L12" s="123">
        <f>L$2*'5.1.1 PKB'!M12</f>
        <v>900.59737213416508</v>
      </c>
      <c r="M12" s="124">
        <f>M$2*'5.1.1 PKB'!N12</f>
        <v>983.45233037050798</v>
      </c>
    </row>
    <row r="13" spans="1:13" x14ac:dyDescent="0.25">
      <c r="A13" s="122" t="s">
        <v>10</v>
      </c>
      <c r="B13" s="123">
        <f>B$2*'5.1.1 PKB'!C13</f>
        <v>688.47168000000011</v>
      </c>
      <c r="C13" s="123">
        <f>C$2*'5.1.1 PKB'!D13</f>
        <v>711.87971712000001</v>
      </c>
      <c r="D13" s="123">
        <f>D$2*'5.1.1 PKB'!E13</f>
        <v>794.19080941200014</v>
      </c>
      <c r="E13" s="123">
        <f>E$2*'5.1.1 PKB'!F13</f>
        <v>882.95331164040022</v>
      </c>
      <c r="F13" s="123">
        <f>F$2*'5.1.1 PKB'!G13</f>
        <v>978.60658706811034</v>
      </c>
      <c r="G13" s="123">
        <f>G$2*'5.1.1 PKB'!H13</f>
        <v>1081.6178067594903</v>
      </c>
      <c r="H13" s="123">
        <f>H$2*'5.1.1 PKB'!I13</f>
        <v>1192.4836319523383</v>
      </c>
      <c r="I13" s="123">
        <f>I$2*'5.1.1 PKB'!J13</f>
        <v>1311.7319951475722</v>
      </c>
      <c r="J13" s="123">
        <f>J$2*'5.1.1 PKB'!K13</f>
        <v>1439.9239855824487</v>
      </c>
      <c r="K13" s="123">
        <f>K$2*'5.1.1 PKB'!L13</f>
        <v>1577.6558450729437</v>
      </c>
      <c r="L13" s="123">
        <f>L$2*'5.1.1 PKB'!M13</f>
        <v>1725.5610805485323</v>
      </c>
      <c r="M13" s="124">
        <f>M$2*'5.1.1 PKB'!N13</f>
        <v>1884.3126999589967</v>
      </c>
    </row>
    <row r="14" spans="1:13" x14ac:dyDescent="0.25">
      <c r="A14" s="122" t="s">
        <v>11</v>
      </c>
      <c r="B14" s="123">
        <f>B$2*'5.1.1 PKB'!C14</f>
        <v>385.33248000000003</v>
      </c>
      <c r="C14" s="123">
        <f>C$2*'5.1.1 PKB'!D14</f>
        <v>398.43378432000003</v>
      </c>
      <c r="D14" s="123">
        <f>D$2*'5.1.1 PKB'!E14</f>
        <v>444.50269063200011</v>
      </c>
      <c r="E14" s="123">
        <f>E$2*'5.1.1 PKB'!F14</f>
        <v>494.18240311440013</v>
      </c>
      <c r="F14" s="123">
        <f>F$2*'5.1.1 PKB'!G14</f>
        <v>547.71883011846023</v>
      </c>
      <c r="G14" s="123">
        <f>G$2*'5.1.1 PKB'!H14</f>
        <v>605.37344381514026</v>
      </c>
      <c r="H14" s="123">
        <f>H$2*'5.1.1 PKB'!I14</f>
        <v>667.42422180619224</v>
      </c>
      <c r="I14" s="123">
        <f>I$2*'5.1.1 PKB'!J14</f>
        <v>734.16664398681144</v>
      </c>
      <c r="J14" s="123">
        <f>J$2*'5.1.1 PKB'!K14</f>
        <v>805.91474783097726</v>
      </c>
      <c r="K14" s="123">
        <f>K$2*'5.1.1 PKB'!L14</f>
        <v>883.00224544959246</v>
      </c>
      <c r="L14" s="123">
        <f>L$2*'5.1.1 PKB'!M14</f>
        <v>965.78370596049183</v>
      </c>
      <c r="M14" s="124">
        <f>M$2*'5.1.1 PKB'!N14</f>
        <v>1054.6358069088569</v>
      </c>
    </row>
    <row r="15" spans="1:13" x14ac:dyDescent="0.25">
      <c r="A15" s="122" t="s">
        <v>12</v>
      </c>
      <c r="B15" s="123">
        <f>B$2*'5.1.1 PKB'!C15</f>
        <v>1036.2809600000001</v>
      </c>
      <c r="C15" s="123">
        <f>C$2*'5.1.1 PKB'!D15</f>
        <v>1071.51451264</v>
      </c>
      <c r="D15" s="123">
        <f>D$2*'5.1.1 PKB'!E15</f>
        <v>1195.4083781640002</v>
      </c>
      <c r="E15" s="123">
        <f>E$2*'5.1.1 PKB'!F15</f>
        <v>1329.0128439588004</v>
      </c>
      <c r="F15" s="123">
        <f>F$2*'5.1.1 PKB'!G15</f>
        <v>1472.9892353876705</v>
      </c>
      <c r="G15" s="123">
        <f>G$2*'5.1.1 PKB'!H15</f>
        <v>1628.0407338495306</v>
      </c>
      <c r="H15" s="123">
        <f>H$2*'5.1.1 PKB'!I15</f>
        <v>1794.9149090691076</v>
      </c>
      <c r="I15" s="123">
        <f>I$2*'5.1.1 PKB'!J15</f>
        <v>1974.4063999760183</v>
      </c>
      <c r="J15" s="123">
        <f>J$2*'5.1.1 PKB'!K15</f>
        <v>2167.3597527009474</v>
      </c>
      <c r="K15" s="123">
        <f>K$2*'5.1.1 PKB'!L15</f>
        <v>2374.6724246984295</v>
      </c>
      <c r="L15" s="123">
        <f>L$2*'5.1.1 PKB'!M15</f>
        <v>2597.2979645139076</v>
      </c>
      <c r="M15" s="124">
        <f>M$2*'5.1.1 PKB'!N15</f>
        <v>2836.2493772491857</v>
      </c>
    </row>
    <row r="16" spans="1:13" x14ac:dyDescent="0.25">
      <c r="A16" s="122" t="s">
        <v>13</v>
      </c>
      <c r="B16" s="123">
        <f>B$2*'5.1.1 PKB'!C16</f>
        <v>2162.7507200000005</v>
      </c>
      <c r="C16" s="123">
        <f>C$2*'5.1.1 PKB'!D16</f>
        <v>2236.2842444800003</v>
      </c>
      <c r="D16" s="123">
        <f>D$2*'5.1.1 PKB'!E16</f>
        <v>2494.8546102480009</v>
      </c>
      <c r="E16" s="123">
        <f>E$2*'5.1.1 PKB'!F16</f>
        <v>2773.6913019816011</v>
      </c>
      <c r="F16" s="123">
        <f>F$2*'5.1.1 PKB'!G16</f>
        <v>3074.1745263629414</v>
      </c>
      <c r="G16" s="123">
        <f>G$2*'5.1.1 PKB'!H16</f>
        <v>3397.7718449274621</v>
      </c>
      <c r="H16" s="123">
        <f>H$2*'5.1.1 PKB'!I16</f>
        <v>3746.0434590325272</v>
      </c>
      <c r="I16" s="123">
        <f>I$2*'5.1.1 PKB'!J16</f>
        <v>4120.6478049357802</v>
      </c>
      <c r="J16" s="123">
        <f>J$2*'5.1.1 PKB'!K16</f>
        <v>4523.3474767817779</v>
      </c>
      <c r="K16" s="123">
        <f>K$2*'5.1.1 PKB'!L16</f>
        <v>4956.015496300035</v>
      </c>
      <c r="L16" s="123">
        <f>L$2*'5.1.1 PKB'!M16</f>
        <v>5420.6419490781636</v>
      </c>
      <c r="M16" s="124">
        <f>M$2*'5.1.1 PKB'!N16</f>
        <v>5919.3410083933531</v>
      </c>
    </row>
    <row r="17" spans="1:13" x14ac:dyDescent="0.25">
      <c r="A17" s="122" t="s">
        <v>14</v>
      </c>
      <c r="B17" s="123">
        <f>B$2*'5.1.1 PKB'!C17</f>
        <v>411.45728000000003</v>
      </c>
      <c r="C17" s="123">
        <f>C$2*'5.1.1 PKB'!D17</f>
        <v>425.44682752000006</v>
      </c>
      <c r="D17" s="123">
        <f>D$2*'5.1.1 PKB'!E17</f>
        <v>474.63911695200011</v>
      </c>
      <c r="E17" s="123">
        <f>E$2*'5.1.1 PKB'!F17</f>
        <v>527.68701825840014</v>
      </c>
      <c r="F17" s="123">
        <f>F$2*'5.1.1 PKB'!G17</f>
        <v>584.85311190306027</v>
      </c>
      <c r="G17" s="123">
        <f>G$2*'5.1.1 PKB'!H17</f>
        <v>646.41659736654026</v>
      </c>
      <c r="H17" s="123">
        <f>H$2*'5.1.1 PKB'!I17</f>
        <v>712.6742985966107</v>
      </c>
      <c r="I17" s="123">
        <f>I$2*'5.1.1 PKB'!J17</f>
        <v>783.9417284562719</v>
      </c>
      <c r="J17" s="123">
        <f>J$2*'5.1.1 PKB'!K17</f>
        <v>860.55421555540761</v>
      </c>
      <c r="K17" s="123">
        <f>K$2*'5.1.1 PKB'!L17</f>
        <v>942.8680970433162</v>
      </c>
      <c r="L17" s="123">
        <f>L$2*'5.1.1 PKB'!M17</f>
        <v>1031.2619811411273</v>
      </c>
      <c r="M17" s="124">
        <f>M$2*'5.1.1 PKB'!N17</f>
        <v>1126.1380834061106</v>
      </c>
    </row>
    <row r="18" spans="1:13" x14ac:dyDescent="0.25">
      <c r="A18" s="122" t="s">
        <v>15</v>
      </c>
      <c r="B18" s="123">
        <f>B$2*'5.1.1 PKB'!C18</f>
        <v>450.64448000000004</v>
      </c>
      <c r="C18" s="123">
        <f>C$2*'5.1.1 PKB'!D18</f>
        <v>465.96639232000007</v>
      </c>
      <c r="D18" s="123">
        <f>D$2*'5.1.1 PKB'!E18</f>
        <v>519.84375643200019</v>
      </c>
      <c r="E18" s="123">
        <f>E$2*'5.1.1 PKB'!F18</f>
        <v>577.94394097440022</v>
      </c>
      <c r="F18" s="123">
        <f>F$2*'5.1.1 PKB'!G18</f>
        <v>640.55453457996032</v>
      </c>
      <c r="G18" s="123">
        <f>G$2*'5.1.1 PKB'!H18</f>
        <v>707.98132769364031</v>
      </c>
      <c r="H18" s="123">
        <f>H$2*'5.1.1 PKB'!I18</f>
        <v>780.54941378223862</v>
      </c>
      <c r="I18" s="123">
        <f>I$2*'5.1.1 PKB'!J18</f>
        <v>858.60435516046243</v>
      </c>
      <c r="J18" s="123">
        <f>J$2*'5.1.1 PKB'!K18</f>
        <v>942.51341714205319</v>
      </c>
      <c r="K18" s="123">
        <f>K$2*'5.1.1 PKB'!L18</f>
        <v>1032.6668744339017</v>
      </c>
      <c r="L18" s="123">
        <f>L$2*'5.1.1 PKB'!M18</f>
        <v>1129.4793939120802</v>
      </c>
      <c r="M18" s="124">
        <f>M$2*'5.1.1 PKB'!N18</f>
        <v>1233.3914981519911</v>
      </c>
    </row>
    <row r="19" spans="1:13" x14ac:dyDescent="0.25">
      <c r="A19" s="122" t="s">
        <v>16</v>
      </c>
      <c r="B19" s="123">
        <f>B$2*'5.1.1 PKB'!C19</f>
        <v>1723.7625600000001</v>
      </c>
      <c r="C19" s="123">
        <f>C$2*'5.1.1 PKB'!D19</f>
        <v>1782.3704870400002</v>
      </c>
      <c r="D19" s="123">
        <f>D$2*'5.1.1 PKB'!E19</f>
        <v>1988.4570746040004</v>
      </c>
      <c r="E19" s="123">
        <f>E$2*'5.1.1 PKB'!F19</f>
        <v>2210.6963947068007</v>
      </c>
      <c r="F19" s="123">
        <f>F$2*'5.1.1 PKB'!G19</f>
        <v>2450.1885041333708</v>
      </c>
      <c r="G19" s="123">
        <f>G$2*'5.1.1 PKB'!H19</f>
        <v>2708.1030835158313</v>
      </c>
      <c r="H19" s="123">
        <f>H$2*'5.1.1 PKB'!I19</f>
        <v>2985.6836495762041</v>
      </c>
      <c r="I19" s="123">
        <f>I$2*'5.1.1 PKB'!J19</f>
        <v>3284.2520145338244</v>
      </c>
      <c r="J19" s="123">
        <f>J$2*'5.1.1 PKB'!K19</f>
        <v>3605.2130068632669</v>
      </c>
      <c r="K19" s="123">
        <f>K$2*'5.1.1 PKB'!L19</f>
        <v>3950.0594683893187</v>
      </c>
      <c r="L19" s="123">
        <f>L$2*'5.1.1 PKB'!M19</f>
        <v>4320.3775435508178</v>
      </c>
      <c r="M19" s="124">
        <f>M$2*'5.1.1 PKB'!N19</f>
        <v>4717.8522775574911</v>
      </c>
    </row>
    <row r="20" spans="1:13" x14ac:dyDescent="0.25">
      <c r="A20" s="125" t="s">
        <v>17</v>
      </c>
      <c r="B20" s="126">
        <f>B$2*'5.1.1 PKB'!C20</f>
        <v>647.5289600000001</v>
      </c>
      <c r="C20" s="126">
        <f>C$2*'5.1.1 PKB'!D20</f>
        <v>669.54494464000015</v>
      </c>
      <c r="D20" s="126">
        <f>D$2*'5.1.1 PKB'!E20</f>
        <v>746.96107886400023</v>
      </c>
      <c r="E20" s="126">
        <f>E$2*'5.1.1 PKB'!F20</f>
        <v>830.4449641488003</v>
      </c>
      <c r="F20" s="126">
        <f>F$2*'5.1.1 PKB'!G20</f>
        <v>920.40983526492028</v>
      </c>
      <c r="G20" s="126">
        <f>G$2*'5.1.1 PKB'!H20</f>
        <v>1017.2950810822804</v>
      </c>
      <c r="H20" s="126">
        <f>H$2*'5.1.1 PKB'!I20</f>
        <v>1121.5678268932143</v>
      </c>
      <c r="I20" s="126">
        <f>I$2*'5.1.1 PKB'!J20</f>
        <v>1233.7246095825358</v>
      </c>
      <c r="J20" s="126">
        <f>J$2*'5.1.1 PKB'!K20</f>
        <v>1354.2931509735565</v>
      </c>
      <c r="K20" s="126">
        <f>K$2*'5.1.1 PKB'!L20</f>
        <v>1483.8342349797229</v>
      </c>
      <c r="L20" s="126">
        <f>L$2*'5.1.1 PKB'!M20</f>
        <v>1622.9436945090717</v>
      </c>
      <c r="M20" s="127">
        <f>M$2*'5.1.1 PKB'!N20</f>
        <v>1772.2545144039059</v>
      </c>
    </row>
    <row r="22" spans="1:13" x14ac:dyDescent="0.25">
      <c r="A22" s="28" t="s">
        <v>274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7"/>
    </row>
    <row r="23" spans="1:13" x14ac:dyDescent="0.25">
      <c r="A23" s="30" t="s">
        <v>200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7"/>
    </row>
    <row r="25" spans="1:13" x14ac:dyDescent="0.25">
      <c r="A25" s="28" t="s">
        <v>198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7"/>
    </row>
    <row r="27" spans="1:13" x14ac:dyDescent="0.25">
      <c r="A27" s="28" t="s">
        <v>199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7"/>
    </row>
    <row r="28" spans="1:13" x14ac:dyDescent="0.25">
      <c r="A28"/>
      <c r="B28" s="19"/>
      <c r="C28" s="19"/>
    </row>
    <row r="29" spans="1:13" x14ac:dyDescent="0.25">
      <c r="A29"/>
      <c r="B29"/>
      <c r="C29"/>
    </row>
    <row r="30" spans="1:13" x14ac:dyDescent="0.25">
      <c r="A30"/>
      <c r="B30"/>
      <c r="C30" s="16"/>
    </row>
    <row r="31" spans="1:13" x14ac:dyDescent="0.25">
      <c r="A31"/>
      <c r="B31"/>
      <c r="C31" s="17"/>
    </row>
    <row r="32" spans="1:13" x14ac:dyDescent="0.25">
      <c r="A32"/>
      <c r="B32"/>
      <c r="C32" s="17"/>
    </row>
    <row r="33" spans="1:3" x14ac:dyDescent="0.25">
      <c r="A33"/>
      <c r="B33"/>
      <c r="C33" s="17"/>
    </row>
    <row r="34" spans="1:3" x14ac:dyDescent="0.25">
      <c r="A34"/>
      <c r="B34"/>
      <c r="C34" s="18"/>
    </row>
    <row r="35" spans="1:3" x14ac:dyDescent="0.25">
      <c r="A35"/>
      <c r="B35"/>
      <c r="C35"/>
    </row>
    <row r="36" spans="1:3" x14ac:dyDescent="0.25">
      <c r="A36"/>
      <c r="B36"/>
      <c r="C36"/>
    </row>
    <row r="37" spans="1:3" x14ac:dyDescent="0.25">
      <c r="A37"/>
      <c r="B37"/>
      <c r="C37"/>
    </row>
  </sheetData>
  <hyperlinks>
    <hyperlink ref="A23" r:id="rId1" tooltip="Przejdź do strony GUS"/>
  </hyperlinks>
  <pageMargins left="0.7" right="0.7" top="0.75" bottom="0.75" header="0.3" footer="0.3"/>
  <pageSetup paperSize="9" orientation="portrait" horizontalDpi="4294967294" verticalDpi="4294967294"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BO34"/>
  <sheetViews>
    <sheetView zoomScale="90" zoomScaleNormal="90" workbookViewId="0">
      <selection activeCell="D34" sqref="D34"/>
    </sheetView>
  </sheetViews>
  <sheetFormatPr defaultRowHeight="15" x14ac:dyDescent="0.25"/>
  <cols>
    <col min="1" max="1" width="28.7109375" customWidth="1"/>
    <col min="2" max="2" width="49.5703125" customWidth="1"/>
    <col min="3" max="3" width="14.7109375" customWidth="1"/>
    <col min="4" max="4" width="13.85546875" customWidth="1"/>
    <col min="5" max="5" width="14.42578125" customWidth="1"/>
    <col min="6" max="6" width="14.7109375" customWidth="1"/>
    <col min="7" max="7" width="15" customWidth="1"/>
    <col min="8" max="8" width="43.28515625" customWidth="1"/>
    <col min="9" max="9" width="15.85546875" customWidth="1"/>
    <col min="10" max="10" width="15.28515625" customWidth="1"/>
    <col min="11" max="11" width="13.5703125" customWidth="1"/>
    <col min="12" max="13" width="15" bestFit="1" customWidth="1"/>
    <col min="14" max="14" width="31.7109375" customWidth="1"/>
    <col min="15" max="15" width="15" customWidth="1"/>
    <col min="16" max="16" width="13.140625" customWidth="1"/>
    <col min="17" max="17" width="13" customWidth="1"/>
    <col min="18" max="18" width="13.85546875" customWidth="1"/>
    <col min="19" max="19" width="13.5703125" customWidth="1"/>
    <col min="20" max="20" width="31.42578125" customWidth="1"/>
    <col min="21" max="21" width="15.7109375" customWidth="1"/>
    <col min="22" max="23" width="14.42578125" customWidth="1"/>
    <col min="24" max="24" width="14" customWidth="1"/>
    <col min="25" max="25" width="16" customWidth="1"/>
    <col min="26" max="26" width="28.28515625" customWidth="1"/>
    <col min="27" max="27" width="14.28515625" customWidth="1"/>
    <col min="28" max="28" width="13.28515625" customWidth="1"/>
    <col min="29" max="29" width="14.28515625" customWidth="1"/>
    <col min="30" max="30" width="13.5703125" customWidth="1"/>
    <col min="31" max="31" width="14.140625" customWidth="1"/>
    <col min="32" max="32" width="26.85546875" customWidth="1"/>
    <col min="33" max="33" width="14.85546875" customWidth="1"/>
    <col min="34" max="34" width="14.42578125" customWidth="1"/>
    <col min="35" max="35" width="15.140625" customWidth="1"/>
    <col min="36" max="36" width="14.85546875" customWidth="1"/>
    <col min="37" max="37" width="14.7109375" customWidth="1"/>
    <col min="38" max="38" width="31.7109375" customWidth="1"/>
    <col min="39" max="39" width="15" customWidth="1"/>
    <col min="40" max="40" width="14.5703125" customWidth="1"/>
    <col min="41" max="41" width="14.85546875" customWidth="1"/>
    <col min="42" max="42" width="15" customWidth="1"/>
    <col min="43" max="43" width="16" customWidth="1"/>
    <col min="44" max="44" width="24" customWidth="1"/>
    <col min="45" max="45" width="14.7109375" customWidth="1"/>
    <col min="46" max="46" width="14.85546875" customWidth="1"/>
    <col min="47" max="47" width="17.5703125" customWidth="1"/>
    <col min="48" max="48" width="14.5703125" customWidth="1"/>
    <col min="49" max="49" width="15.140625" customWidth="1"/>
    <col min="50" max="50" width="23.28515625" customWidth="1"/>
    <col min="51" max="51" width="13.85546875" customWidth="1"/>
    <col min="52" max="52" width="13.5703125" customWidth="1"/>
    <col min="53" max="53" width="13.7109375" customWidth="1"/>
    <col min="54" max="54" width="13" customWidth="1"/>
    <col min="55" max="55" width="14.85546875" customWidth="1"/>
    <col min="56" max="56" width="23" customWidth="1"/>
    <col min="57" max="57" width="14.5703125" customWidth="1"/>
    <col min="58" max="58" width="13" customWidth="1"/>
    <col min="59" max="59" width="14.140625" customWidth="1"/>
    <col min="60" max="60" width="15.85546875" customWidth="1"/>
    <col min="61" max="61" width="14.7109375" customWidth="1"/>
    <col min="62" max="62" width="21.42578125" customWidth="1"/>
    <col min="63" max="63" width="15.85546875" customWidth="1"/>
    <col min="64" max="64" width="16.42578125" customWidth="1"/>
    <col min="65" max="65" width="14.85546875" customWidth="1"/>
    <col min="66" max="66" width="14.7109375" customWidth="1"/>
    <col min="67" max="67" width="14.85546875" customWidth="1"/>
  </cols>
  <sheetData>
    <row r="1" spans="1:67" ht="47.25" customHeight="1" thickBot="1" x14ac:dyDescent="0.3">
      <c r="A1" s="148" t="s">
        <v>18</v>
      </c>
      <c r="B1" s="149" t="s">
        <v>201</v>
      </c>
      <c r="C1" s="148" t="s">
        <v>66</v>
      </c>
      <c r="D1" s="148" t="s">
        <v>20</v>
      </c>
      <c r="E1" s="148" t="s">
        <v>21</v>
      </c>
      <c r="F1" s="148" t="s">
        <v>22</v>
      </c>
      <c r="G1" s="148" t="s">
        <v>23</v>
      </c>
      <c r="H1" s="149" t="s">
        <v>202</v>
      </c>
      <c r="I1" s="148" t="s">
        <v>203</v>
      </c>
      <c r="J1" s="148" t="s">
        <v>204</v>
      </c>
      <c r="K1" s="148" t="s">
        <v>205</v>
      </c>
      <c r="L1" s="148" t="s">
        <v>206</v>
      </c>
      <c r="M1" s="148" t="s">
        <v>207</v>
      </c>
      <c r="N1" s="149" t="s">
        <v>208</v>
      </c>
      <c r="O1" s="148" t="s">
        <v>209</v>
      </c>
      <c r="P1" s="148" t="s">
        <v>210</v>
      </c>
      <c r="Q1" s="148" t="s">
        <v>211</v>
      </c>
      <c r="R1" s="148" t="s">
        <v>212</v>
      </c>
      <c r="S1" s="148" t="s">
        <v>213</v>
      </c>
      <c r="T1" s="149" t="s">
        <v>214</v>
      </c>
      <c r="U1" s="148" t="s">
        <v>215</v>
      </c>
      <c r="V1" s="148" t="s">
        <v>216</v>
      </c>
      <c r="W1" s="148" t="s">
        <v>217</v>
      </c>
      <c r="X1" s="148" t="s">
        <v>218</v>
      </c>
      <c r="Y1" s="148" t="s">
        <v>219</v>
      </c>
      <c r="Z1" s="149" t="s">
        <v>220</v>
      </c>
      <c r="AA1" s="148" t="s">
        <v>221</v>
      </c>
      <c r="AB1" s="148" t="s">
        <v>222</v>
      </c>
      <c r="AC1" s="148" t="s">
        <v>223</v>
      </c>
      <c r="AD1" s="148" t="s">
        <v>224</v>
      </c>
      <c r="AE1" s="148" t="s">
        <v>225</v>
      </c>
      <c r="AF1" s="149" t="s">
        <v>226</v>
      </c>
      <c r="AG1" s="148" t="s">
        <v>227</v>
      </c>
      <c r="AH1" s="148" t="s">
        <v>228</v>
      </c>
      <c r="AI1" s="148" t="s">
        <v>229</v>
      </c>
      <c r="AJ1" s="148" t="s">
        <v>230</v>
      </c>
      <c r="AK1" s="148" t="s">
        <v>231</v>
      </c>
      <c r="AL1" s="149" t="s">
        <v>232</v>
      </c>
      <c r="AM1" s="148" t="s">
        <v>233</v>
      </c>
      <c r="AN1" s="148" t="s">
        <v>234</v>
      </c>
      <c r="AO1" s="148" t="s">
        <v>235</v>
      </c>
      <c r="AP1" s="148" t="s">
        <v>236</v>
      </c>
      <c r="AQ1" s="148" t="s">
        <v>237</v>
      </c>
      <c r="AR1" s="149" t="s">
        <v>275</v>
      </c>
      <c r="AS1" s="148" t="s">
        <v>238</v>
      </c>
      <c r="AT1" s="148" t="s">
        <v>239</v>
      </c>
      <c r="AU1" s="148" t="s">
        <v>240</v>
      </c>
      <c r="AV1" s="148" t="s">
        <v>241</v>
      </c>
      <c r="AW1" s="148" t="s">
        <v>242</v>
      </c>
      <c r="AX1" s="149" t="s">
        <v>243</v>
      </c>
      <c r="AY1" s="148" t="s">
        <v>244</v>
      </c>
      <c r="AZ1" s="148" t="s">
        <v>245</v>
      </c>
      <c r="BA1" s="148" t="s">
        <v>246</v>
      </c>
      <c r="BB1" s="148" t="s">
        <v>247</v>
      </c>
      <c r="BC1" s="148" t="s">
        <v>248</v>
      </c>
      <c r="BD1" s="149" t="s">
        <v>249</v>
      </c>
      <c r="BE1" s="148" t="s">
        <v>250</v>
      </c>
      <c r="BF1" s="148" t="s">
        <v>251</v>
      </c>
      <c r="BG1" s="148" t="s">
        <v>252</v>
      </c>
      <c r="BH1" s="148" t="s">
        <v>253</v>
      </c>
      <c r="BI1" s="148" t="s">
        <v>254</v>
      </c>
      <c r="BJ1" s="149" t="s">
        <v>255</v>
      </c>
      <c r="BK1" s="148" t="s">
        <v>256</v>
      </c>
      <c r="BL1" s="148" t="s">
        <v>257</v>
      </c>
      <c r="BM1" s="148" t="s">
        <v>258</v>
      </c>
      <c r="BN1" s="148" t="s">
        <v>259</v>
      </c>
      <c r="BO1" s="148" t="s">
        <v>260</v>
      </c>
    </row>
    <row r="2" spans="1:67" ht="15.75" thickTop="1" x14ac:dyDescent="0.25">
      <c r="A2" s="131" t="s">
        <v>1</v>
      </c>
      <c r="B2" s="69">
        <v>218207901</v>
      </c>
      <c r="C2" s="69">
        <f>SUM(D2:F2)</f>
        <v>99472838</v>
      </c>
      <c r="D2" s="69">
        <v>38754261</v>
      </c>
      <c r="E2" s="69">
        <v>19131951</v>
      </c>
      <c r="F2" s="69">
        <v>41586626</v>
      </c>
      <c r="G2" s="69">
        <v>118735063</v>
      </c>
      <c r="H2" s="69">
        <f>SUM(J2:M2)</f>
        <v>145471934</v>
      </c>
      <c r="I2" s="69">
        <f>SUM(J2:L2)</f>
        <v>66315225.333333328</v>
      </c>
      <c r="J2" s="69">
        <f>D2*40/60</f>
        <v>25836174</v>
      </c>
      <c r="K2" s="69">
        <f>E2*40/60</f>
        <v>12754634</v>
      </c>
      <c r="L2" s="69">
        <f>F2*40/60</f>
        <v>27724417.333333332</v>
      </c>
      <c r="M2" s="69">
        <f>G2*40/60</f>
        <v>79156708.666666672</v>
      </c>
      <c r="N2" s="69">
        <v>16950841.800000001</v>
      </c>
      <c r="O2" s="69">
        <f>SUM(P2:R2)</f>
        <v>5627679.4775999999</v>
      </c>
      <c r="P2" s="69">
        <f>N2*2.6%</f>
        <v>440721.88680000004</v>
      </c>
      <c r="Q2" s="69">
        <f>N2*9.9%</f>
        <v>1678133.3382000001</v>
      </c>
      <c r="R2" s="69">
        <f>N2*20.7%</f>
        <v>3508824.2525999998</v>
      </c>
      <c r="S2" s="69">
        <f>N2*66.8%</f>
        <v>11323162.3224</v>
      </c>
      <c r="T2" s="69">
        <f>SUM(V2:Y2)</f>
        <v>380630676.80000001</v>
      </c>
      <c r="U2" s="69">
        <f>SUM(V2:X2)</f>
        <v>171415742.81093332</v>
      </c>
      <c r="V2" s="69">
        <f>SUM(D2,J2,P2)</f>
        <v>65031156.886799999</v>
      </c>
      <c r="W2" s="69">
        <f>SUM(E2,K2,Q2)</f>
        <v>33564718.338200003</v>
      </c>
      <c r="X2" s="69">
        <f>SUM(F2,L2,R2)</f>
        <v>72819867.585933328</v>
      </c>
      <c r="Y2" s="69">
        <f>SUM(G2,M2,S2)</f>
        <v>209214933.98906669</v>
      </c>
      <c r="Z2" s="132">
        <v>1</v>
      </c>
      <c r="AA2" s="132">
        <f>U2/T2</f>
        <v>0.45034663062904579</v>
      </c>
      <c r="AB2" s="132">
        <f>V2/T2</f>
        <v>0.17085106600845579</v>
      </c>
      <c r="AC2" s="132">
        <f>W2/T2</f>
        <v>8.8181852866883806E-2</v>
      </c>
      <c r="AD2" s="132">
        <f>X2/T2</f>
        <v>0.19131371175370626</v>
      </c>
      <c r="AE2" s="132">
        <f>Y2/T2</f>
        <v>0.54965336937095421</v>
      </c>
      <c r="AF2" s="69">
        <f>SUM(AH2:AK2)</f>
        <v>232609622.46599996</v>
      </c>
      <c r="AG2" s="69">
        <f>SUM(AH2:AJ2)</f>
        <v>106038045.30799998</v>
      </c>
      <c r="AH2" s="69">
        <f>SUM(AH3:AH18)</f>
        <v>41312042.225999996</v>
      </c>
      <c r="AI2" s="69">
        <f>SUM(AI3:AI18)</f>
        <v>20394659.765999995</v>
      </c>
      <c r="AJ2" s="69">
        <f>SUM(AJ3:AJ18)</f>
        <v>44331343.315999992</v>
      </c>
      <c r="AK2" s="69">
        <f>SUM(AK3:AK18)</f>
        <v>126571577.15799998</v>
      </c>
      <c r="AL2" s="69">
        <f>SUM(AN2:AQ2)</f>
        <v>238843560.3480888</v>
      </c>
      <c r="AM2" s="69">
        <f>SUM(AN2:AP2)</f>
        <v>108879864.92225438</v>
      </c>
      <c r="AN2" s="69">
        <f>SUM(AN3:AN18)</f>
        <v>42419204.957656793</v>
      </c>
      <c r="AO2" s="69">
        <f>SUM(AO3:AO18)</f>
        <v>20941236.647728797</v>
      </c>
      <c r="AP2" s="69">
        <f>SUM(AP3:AP18)</f>
        <v>45519423.316868797</v>
      </c>
      <c r="AQ2" s="69">
        <f>SUM(AQ3:AQ18)</f>
        <v>129963695.42583442</v>
      </c>
      <c r="AR2" s="69">
        <f>SUM(AT2:AW2)</f>
        <v>159229040.23205921</v>
      </c>
      <c r="AS2" s="69">
        <f>SUM(AT2:AV2)</f>
        <v>72586576.614836261</v>
      </c>
      <c r="AT2" s="69">
        <f>AN2*40/60</f>
        <v>28279469.971771196</v>
      </c>
      <c r="AU2" s="69">
        <f>AO2*40/60</f>
        <v>13960824.431819199</v>
      </c>
      <c r="AV2" s="69">
        <f>AP2*40/60</f>
        <v>30346282.211245861</v>
      </c>
      <c r="AW2" s="69">
        <f>AQ2*40/60</f>
        <v>86642463.61722295</v>
      </c>
      <c r="AX2" s="69">
        <f>SUM(AZ2:BC2)</f>
        <v>17598805.120000005</v>
      </c>
      <c r="AY2" s="69">
        <f>SUM(AZ2:BB2)</f>
        <v>5992393.1433600001</v>
      </c>
      <c r="AZ2" s="69">
        <f>SUM(AZ3:AZ18)</f>
        <v>496286.30438400002</v>
      </c>
      <c r="BA2" s="69">
        <f>SUM(BA3:BA18)</f>
        <v>1705324.2161280001</v>
      </c>
      <c r="BB2" s="69">
        <f>SUM(BB3:BB18)</f>
        <v>3790782.6228480004</v>
      </c>
      <c r="BC2" s="69">
        <f>SUM(BC3:BC18)</f>
        <v>11606411.976640005</v>
      </c>
      <c r="BD2" s="69">
        <f>SUM(BF2:BI2)</f>
        <v>18197164.494080003</v>
      </c>
      <c r="BE2" s="69">
        <f>SUM(BF2:BH2)</f>
        <v>6196134.5102342414</v>
      </c>
      <c r="BF2" s="69">
        <f>SUM(BF3:BF18)</f>
        <v>513160.03873305611</v>
      </c>
      <c r="BG2" s="69">
        <f>SUM(BG3:BG18)</f>
        <v>1763305.2394763525</v>
      </c>
      <c r="BH2" s="69">
        <f>SUM(BH3:BH18)</f>
        <v>3919669.2320248326</v>
      </c>
      <c r="BI2" s="69">
        <f>SUM(BI3:BI18)</f>
        <v>12001029.983845763</v>
      </c>
      <c r="BJ2" s="69">
        <f>SUM(BL2:BO2)</f>
        <v>416269765.07422805</v>
      </c>
      <c r="BK2" s="69">
        <f>SUM(BL2:BN2)</f>
        <v>187662576.0473249</v>
      </c>
      <c r="BL2" s="69">
        <f>BF2+AT2+AN2</f>
        <v>71211834.968161047</v>
      </c>
      <c r="BM2" s="69">
        <f>BG2+AU2+AO2</f>
        <v>36665366.319024347</v>
      </c>
      <c r="BN2" s="69">
        <f>BH2+AV2+AP2</f>
        <v>79785374.760139495</v>
      </c>
      <c r="BO2" s="133">
        <f>BI2+AW2+AQ2</f>
        <v>228607189.02690312</v>
      </c>
    </row>
    <row r="3" spans="1:67" x14ac:dyDescent="0.25">
      <c r="A3" s="131" t="s">
        <v>2</v>
      </c>
      <c r="B3" s="69">
        <v>16986139</v>
      </c>
      <c r="C3" s="69">
        <f t="shared" ref="C3:C18" si="0">SUM(D3:F3)</f>
        <v>7794389</v>
      </c>
      <c r="D3" s="69">
        <v>2545202</v>
      </c>
      <c r="E3" s="69">
        <v>1514241</v>
      </c>
      <c r="F3" s="69">
        <v>3734946</v>
      </c>
      <c r="G3" s="69">
        <v>9191750</v>
      </c>
      <c r="H3" s="69">
        <f t="shared" ref="H3:H18" si="1">SUM(J3:M3)</f>
        <v>11324092.666666666</v>
      </c>
      <c r="I3" s="69">
        <f t="shared" ref="I3:I18" si="2">SUM(J3:L3)</f>
        <v>5196259.333333333</v>
      </c>
      <c r="J3" s="69">
        <f t="shared" ref="J3:J18" si="3">D3*40/60</f>
        <v>1696801.3333333333</v>
      </c>
      <c r="K3" s="69">
        <f t="shared" ref="K3:K18" si="4">E3*40/60</f>
        <v>1009494</v>
      </c>
      <c r="L3" s="69">
        <f t="shared" ref="L3:L18" si="5">F3*40/60</f>
        <v>2489964</v>
      </c>
      <c r="M3" s="69">
        <f t="shared" ref="M3:M18" si="6">G3*40/60</f>
        <v>6127833.333333333</v>
      </c>
      <c r="N3" s="69">
        <v>1197727.7</v>
      </c>
      <c r="O3" s="69">
        <f t="shared" ref="O3:O18" si="7">SUM(P3:R3)</f>
        <v>397645.59639999998</v>
      </c>
      <c r="P3" s="69">
        <f t="shared" ref="P3:P18" si="8">N3*2.6%</f>
        <v>31140.9202</v>
      </c>
      <c r="Q3" s="69">
        <f t="shared" ref="Q3:Q18" si="9">N3*9.9%</f>
        <v>118575.0423</v>
      </c>
      <c r="R3" s="69">
        <f t="shared" ref="R3:R18" si="10">N3*20.7%</f>
        <v>247929.63389999999</v>
      </c>
      <c r="S3" s="69">
        <f t="shared" ref="S3:S18" si="11">N3*66.8%</f>
        <v>800082.10359999991</v>
      </c>
      <c r="T3" s="69">
        <f t="shared" ref="T3:T18" si="12">SUM(V3:Y3)</f>
        <v>29507959.366666663</v>
      </c>
      <c r="U3" s="69">
        <f t="shared" ref="U3:U18" si="13">SUM(V3:X3)</f>
        <v>13388293.929733332</v>
      </c>
      <c r="V3" s="69">
        <f t="shared" ref="V3:V18" si="14">SUM(D3,J3,P3)</f>
        <v>4273144.2535333326</v>
      </c>
      <c r="W3" s="69">
        <f t="shared" ref="W3:W18" si="15">SUM(E3,K3,Q3)</f>
        <v>2642310.0422999999</v>
      </c>
      <c r="X3" s="69">
        <f t="shared" ref="X3:X18" si="16">SUM(F3,L3,R3)</f>
        <v>6472839.6338999998</v>
      </c>
      <c r="Y3" s="69">
        <f t="shared" ref="Y3:Y18" si="17">SUM(G3,M3,S3)</f>
        <v>16119665.436933331</v>
      </c>
      <c r="Z3" s="132">
        <v>1</v>
      </c>
      <c r="AA3" s="132">
        <f t="shared" ref="AA3:AA18" si="18">U3/T3</f>
        <v>0.45371805496171547</v>
      </c>
      <c r="AB3" s="132">
        <f t="shared" ref="AB3:AB18" si="19">V3/T3</f>
        <v>0.14481327564658511</v>
      </c>
      <c r="AC3" s="132">
        <f t="shared" ref="AC3:AC18" si="20">W3/T3</f>
        <v>8.9545671710692942E-2</v>
      </c>
      <c r="AD3" s="132">
        <f t="shared" ref="AD3:AD18" si="21">X3/T3</f>
        <v>0.21935910760443741</v>
      </c>
      <c r="AE3" s="132">
        <f t="shared" ref="AE3:AE18" si="22">Y3/T3</f>
        <v>0.54628194503828453</v>
      </c>
      <c r="AF3" s="69">
        <f t="shared" ref="AF3:AF18" si="23">SUM(AH3:AK3)</f>
        <v>18107224.173999995</v>
      </c>
      <c r="AG3" s="69">
        <f t="shared" ref="AG3:AG18" si="24">SUM(AH3:AJ3)</f>
        <v>8308818.6739999987</v>
      </c>
      <c r="AH3" s="69">
        <f t="shared" ref="AH3:AH18" si="25">D3*106.6%</f>
        <v>2713185.3319999995</v>
      </c>
      <c r="AI3" s="69">
        <f t="shared" ref="AI3:AI18" si="26">E3*106.6%</f>
        <v>1614180.9059999997</v>
      </c>
      <c r="AJ3" s="69">
        <f t="shared" ref="AJ3:AJ18" si="27">F3*106.6%</f>
        <v>3981452.4359999993</v>
      </c>
      <c r="AK3" s="69">
        <f t="shared" ref="AK3:AK18" si="28">G3*106.6%</f>
        <v>9798405.4999999981</v>
      </c>
      <c r="AL3" s="69">
        <f t="shared" ref="AL3:AL18" si="29">SUM(AN3:AQ3)</f>
        <v>18592497.781863198</v>
      </c>
      <c r="AM3" s="69">
        <f t="shared" ref="AM3:AM18" si="30">SUM(AN3:AP3)</f>
        <v>8531495.0144631993</v>
      </c>
      <c r="AN3" s="69">
        <f t="shared" ref="AN3:AN18" si="31">AH3*102.68%</f>
        <v>2785898.6988975997</v>
      </c>
      <c r="AO3" s="69">
        <f t="shared" ref="AO3:AO18" si="32">AI3*102.68%</f>
        <v>1657440.9542808</v>
      </c>
      <c r="AP3" s="69">
        <f t="shared" ref="AP3:AP18" si="33">AJ3*102.68%</f>
        <v>4088155.3612847999</v>
      </c>
      <c r="AQ3" s="69">
        <f t="shared" ref="AQ3:AQ18" si="34">AK3*102.68%</f>
        <v>10061002.7674</v>
      </c>
      <c r="AR3" s="69">
        <f t="shared" ref="AR3:AR18" si="35">SUM(AT3:AW3)</f>
        <v>12394998.521242132</v>
      </c>
      <c r="AS3" s="69">
        <f t="shared" ref="AS3:AS18" si="36">SUM(AT3:AV3)</f>
        <v>5687663.3429754665</v>
      </c>
      <c r="AT3" s="69">
        <f t="shared" ref="AT3:AT18" si="37">AN3*40/60</f>
        <v>1857265.7992650666</v>
      </c>
      <c r="AU3" s="69">
        <f t="shared" ref="AU3:AU18" si="38">AO3*40/60</f>
        <v>1104960.6361872</v>
      </c>
      <c r="AV3" s="69">
        <f t="shared" ref="AV3:AV18" si="39">AP3*40/60</f>
        <v>2725436.9075231999</v>
      </c>
      <c r="AW3" s="69">
        <f t="shared" ref="AW3:AW18" si="40">AQ3*40/60</f>
        <v>6707335.1782666659</v>
      </c>
      <c r="AX3" s="69">
        <f>'5.1.1 Nakłady B+R'!B5*1000</f>
        <v>1458961.9200000002</v>
      </c>
      <c r="AY3" s="69">
        <f t="shared" ref="AY3:AY18" si="41">SUM(AZ3:BB3)</f>
        <v>496776.53376000002</v>
      </c>
      <c r="AZ3" s="69">
        <f t="shared" ref="AZ3:AZ18" si="42">AX3*2.82%</f>
        <v>41142.726144</v>
      </c>
      <c r="BA3" s="69">
        <f t="shared" ref="BA3:BA18" si="43">AX3*9.69%</f>
        <v>141373.41004800002</v>
      </c>
      <c r="BB3" s="69">
        <f t="shared" ref="BB3:BB18" si="44">AX3*21.54%</f>
        <v>314260.39756800001</v>
      </c>
      <c r="BC3" s="69">
        <f t="shared" ref="BC3:BC18" si="45">AX3*65.95%</f>
        <v>962185.38624000002</v>
      </c>
      <c r="BD3" s="69">
        <f>'5.1.1 Nakłady B+R'!C5*1000</f>
        <v>1508566.6252800003</v>
      </c>
      <c r="BE3" s="69">
        <f t="shared" ref="BE3:BE18" si="46">SUM(BF3:BH3)</f>
        <v>513666.93590784009</v>
      </c>
      <c r="BF3" s="69">
        <f t="shared" ref="BF3:BF18" si="47">BD3*2.82%</f>
        <v>42541.578832896004</v>
      </c>
      <c r="BG3" s="69">
        <f t="shared" ref="BG3:BG18" si="48">BD3*9.69%</f>
        <v>146180.10598963202</v>
      </c>
      <c r="BH3" s="69">
        <f t="shared" ref="BH3:BH18" si="49">BD3*21.54%</f>
        <v>324945.25108531205</v>
      </c>
      <c r="BI3" s="69">
        <f>BD3*65.95%</f>
        <v>994899.68937216012</v>
      </c>
      <c r="BJ3" s="69">
        <f t="shared" ref="BJ3:BJ18" si="50">SUM(BL3:BO3)</f>
        <v>32496062.928385332</v>
      </c>
      <c r="BK3" s="69">
        <f t="shared" ref="BK3:BK18" si="51">SUM(BL3:BN3)</f>
        <v>14732825.293346506</v>
      </c>
      <c r="BL3" s="69">
        <f t="shared" ref="BL3:BL18" si="52">BF3+AT3+AN3</f>
        <v>4685706.0769955628</v>
      </c>
      <c r="BM3" s="69">
        <f t="shared" ref="BM3:BM18" si="53">BG3+AU3+AO3</f>
        <v>2908581.6964576319</v>
      </c>
      <c r="BN3" s="69">
        <f t="shared" ref="BN3:BN18" si="54">BH3+AV3+AP3</f>
        <v>7138537.5198933119</v>
      </c>
      <c r="BO3" s="133">
        <f t="shared" ref="BO3:BO18" si="55">BI3+AW3+AQ3</f>
        <v>17763237.635038827</v>
      </c>
    </row>
    <row r="4" spans="1:67" x14ac:dyDescent="0.25">
      <c r="A4" s="131" t="s">
        <v>3</v>
      </c>
      <c r="B4" s="69">
        <v>6413435</v>
      </c>
      <c r="C4" s="69">
        <f t="shared" si="0"/>
        <v>4039068</v>
      </c>
      <c r="D4" s="69">
        <v>1253758</v>
      </c>
      <c r="E4" s="69">
        <v>1095021</v>
      </c>
      <c r="F4" s="69">
        <v>1690289</v>
      </c>
      <c r="G4" s="69">
        <v>2374367</v>
      </c>
      <c r="H4" s="69">
        <f t="shared" si="1"/>
        <v>4275623.333333333</v>
      </c>
      <c r="I4" s="69">
        <f t="shared" si="2"/>
        <v>2692712</v>
      </c>
      <c r="J4" s="69">
        <f t="shared" si="3"/>
        <v>835838.66666666663</v>
      </c>
      <c r="K4" s="69">
        <f t="shared" si="4"/>
        <v>730014</v>
      </c>
      <c r="L4" s="69">
        <f t="shared" si="5"/>
        <v>1126859.3333333333</v>
      </c>
      <c r="M4" s="69">
        <f t="shared" si="6"/>
        <v>1582911.3333333333</v>
      </c>
      <c r="N4" s="69">
        <v>395660.1</v>
      </c>
      <c r="O4" s="69">
        <f t="shared" si="7"/>
        <v>131359.1532</v>
      </c>
      <c r="P4" s="69">
        <f t="shared" si="8"/>
        <v>10287.1626</v>
      </c>
      <c r="Q4" s="69">
        <f t="shared" si="9"/>
        <v>39170.349900000001</v>
      </c>
      <c r="R4" s="69">
        <f t="shared" si="10"/>
        <v>81901.640699999989</v>
      </c>
      <c r="S4" s="69">
        <f t="shared" si="11"/>
        <v>264300.94679999998</v>
      </c>
      <c r="T4" s="69">
        <f t="shared" si="12"/>
        <v>11084718.433333332</v>
      </c>
      <c r="U4" s="69">
        <f t="shared" si="13"/>
        <v>6863139.1531999987</v>
      </c>
      <c r="V4" s="69">
        <f t="shared" si="14"/>
        <v>2099883.8292666664</v>
      </c>
      <c r="W4" s="69">
        <f t="shared" si="15"/>
        <v>1864205.3499</v>
      </c>
      <c r="X4" s="69">
        <f t="shared" si="16"/>
        <v>2899049.9740333329</v>
      </c>
      <c r="Y4" s="69">
        <f t="shared" si="17"/>
        <v>4221579.2801333331</v>
      </c>
      <c r="Z4" s="132">
        <v>1</v>
      </c>
      <c r="AA4" s="132">
        <f t="shared" si="18"/>
        <v>0.61915322382583571</v>
      </c>
      <c r="AB4" s="132">
        <f t="shared" si="19"/>
        <v>0.18943952811214543</v>
      </c>
      <c r="AC4" s="132">
        <f t="shared" si="20"/>
        <v>0.16817796149824324</v>
      </c>
      <c r="AD4" s="132">
        <f t="shared" si="21"/>
        <v>0.26153573421544707</v>
      </c>
      <c r="AE4" s="132">
        <f t="shared" si="22"/>
        <v>0.38084677617416435</v>
      </c>
      <c r="AF4" s="69">
        <f t="shared" si="23"/>
        <v>6836721.709999999</v>
      </c>
      <c r="AG4" s="69">
        <f t="shared" si="24"/>
        <v>4305646.487999999</v>
      </c>
      <c r="AH4" s="69">
        <f t="shared" si="25"/>
        <v>1336506.0279999997</v>
      </c>
      <c r="AI4" s="69">
        <f t="shared" si="26"/>
        <v>1167292.3859999997</v>
      </c>
      <c r="AJ4" s="69">
        <f t="shared" si="27"/>
        <v>1801848.0739999998</v>
      </c>
      <c r="AK4" s="69">
        <f t="shared" si="28"/>
        <v>2531075.2219999996</v>
      </c>
      <c r="AL4" s="69">
        <f t="shared" si="29"/>
        <v>7019945.8518279996</v>
      </c>
      <c r="AM4" s="69">
        <f t="shared" si="30"/>
        <v>4421037.8138784003</v>
      </c>
      <c r="AN4" s="69">
        <f t="shared" si="31"/>
        <v>1372324.3895504</v>
      </c>
      <c r="AO4" s="69">
        <f t="shared" si="32"/>
        <v>1198575.8219448</v>
      </c>
      <c r="AP4" s="69">
        <f t="shared" si="33"/>
        <v>1850137.6023832001</v>
      </c>
      <c r="AQ4" s="69">
        <f t="shared" si="34"/>
        <v>2598908.0379495998</v>
      </c>
      <c r="AR4" s="69">
        <f t="shared" si="35"/>
        <v>4679963.9012186667</v>
      </c>
      <c r="AS4" s="69">
        <f t="shared" si="36"/>
        <v>2947358.5425856002</v>
      </c>
      <c r="AT4" s="69">
        <f t="shared" si="37"/>
        <v>914882.92636693327</v>
      </c>
      <c r="AU4" s="69">
        <f t="shared" si="38"/>
        <v>799050.54796320002</v>
      </c>
      <c r="AV4" s="69">
        <f t="shared" si="39"/>
        <v>1233425.0682554666</v>
      </c>
      <c r="AW4" s="69">
        <f t="shared" si="40"/>
        <v>1732605.3586330665</v>
      </c>
      <c r="AX4" s="69">
        <f>'5.1.1 Nakłady B+R'!B6*1000</f>
        <v>773427.20000000007</v>
      </c>
      <c r="AY4" s="69">
        <f t="shared" si="41"/>
        <v>263351.96160000004</v>
      </c>
      <c r="AZ4" s="69">
        <f t="shared" si="42"/>
        <v>21810.64704</v>
      </c>
      <c r="BA4" s="69">
        <f t="shared" si="43"/>
        <v>74945.095680000013</v>
      </c>
      <c r="BB4" s="69">
        <f t="shared" si="44"/>
        <v>166596.21888</v>
      </c>
      <c r="BC4" s="69">
        <f t="shared" si="45"/>
        <v>510075.23840000003</v>
      </c>
      <c r="BD4" s="69">
        <f>'5.1.1 Nakłady B+R'!C6*1000</f>
        <v>799723.72480000008</v>
      </c>
      <c r="BE4" s="69">
        <f t="shared" si="46"/>
        <v>272305.92829439999</v>
      </c>
      <c r="BF4" s="69">
        <f t="shared" si="47"/>
        <v>22552.209039360001</v>
      </c>
      <c r="BG4" s="69">
        <f t="shared" si="48"/>
        <v>77493.228933120001</v>
      </c>
      <c r="BH4" s="69">
        <f t="shared" si="49"/>
        <v>172260.49032191999</v>
      </c>
      <c r="BI4" s="69">
        <f t="shared" ref="BI4:BI18" si="56">BD4*65.95%</f>
        <v>527417.79650559998</v>
      </c>
      <c r="BJ4" s="69">
        <f t="shared" si="50"/>
        <v>12499633.477846667</v>
      </c>
      <c r="BK4" s="69">
        <f t="shared" si="51"/>
        <v>7640702.2847584002</v>
      </c>
      <c r="BL4" s="69">
        <f t="shared" si="52"/>
        <v>2309759.5249566934</v>
      </c>
      <c r="BM4" s="69">
        <f t="shared" si="53"/>
        <v>2075119.59884112</v>
      </c>
      <c r="BN4" s="69">
        <f t="shared" si="54"/>
        <v>3255823.1609605867</v>
      </c>
      <c r="BO4" s="133">
        <f t="shared" si="55"/>
        <v>4858931.193088267</v>
      </c>
    </row>
    <row r="5" spans="1:67" x14ac:dyDescent="0.25">
      <c r="A5" s="131" t="s">
        <v>4</v>
      </c>
      <c r="B5" s="69">
        <v>6696027</v>
      </c>
      <c r="C5" s="69">
        <f t="shared" si="0"/>
        <v>2906131</v>
      </c>
      <c r="D5" s="69">
        <v>1096828</v>
      </c>
      <c r="E5" s="69">
        <v>704089</v>
      </c>
      <c r="F5" s="69">
        <v>1105214</v>
      </c>
      <c r="G5" s="69">
        <v>3789896</v>
      </c>
      <c r="H5" s="69">
        <f t="shared" si="1"/>
        <v>4464018</v>
      </c>
      <c r="I5" s="69">
        <f t="shared" si="2"/>
        <v>1937420.6666666665</v>
      </c>
      <c r="J5" s="69">
        <f t="shared" si="3"/>
        <v>731218.66666666663</v>
      </c>
      <c r="K5" s="69">
        <f t="shared" si="4"/>
        <v>469392.66666666669</v>
      </c>
      <c r="L5" s="69">
        <f t="shared" si="5"/>
        <v>736809.33333333337</v>
      </c>
      <c r="M5" s="69">
        <f t="shared" si="6"/>
        <v>2526597.3333333335</v>
      </c>
      <c r="N5" s="69">
        <v>287090.5</v>
      </c>
      <c r="O5" s="69">
        <f t="shared" si="7"/>
        <v>95314.046000000002</v>
      </c>
      <c r="P5" s="69">
        <f t="shared" si="8"/>
        <v>7464.353000000001</v>
      </c>
      <c r="Q5" s="69">
        <f t="shared" si="9"/>
        <v>28421.959500000001</v>
      </c>
      <c r="R5" s="69">
        <f t="shared" si="10"/>
        <v>59427.733499999995</v>
      </c>
      <c r="S5" s="69">
        <f t="shared" si="11"/>
        <v>191776.45399999997</v>
      </c>
      <c r="T5" s="69">
        <f t="shared" si="12"/>
        <v>11447135.5</v>
      </c>
      <c r="U5" s="69">
        <f t="shared" si="13"/>
        <v>4938865.7126666661</v>
      </c>
      <c r="V5" s="69">
        <f t="shared" si="14"/>
        <v>1835511.0196666664</v>
      </c>
      <c r="W5" s="69">
        <f t="shared" si="15"/>
        <v>1201903.6261666669</v>
      </c>
      <c r="X5" s="69">
        <f t="shared" si="16"/>
        <v>1901451.0668333336</v>
      </c>
      <c r="Y5" s="69">
        <f t="shared" si="17"/>
        <v>6508269.7873333339</v>
      </c>
      <c r="Z5" s="132">
        <v>1</v>
      </c>
      <c r="AA5" s="132">
        <f t="shared" si="18"/>
        <v>0.43144992148181227</v>
      </c>
      <c r="AB5" s="132">
        <f t="shared" si="19"/>
        <v>0.16034675396885678</v>
      </c>
      <c r="AC5" s="132">
        <f t="shared" si="20"/>
        <v>0.10499601635419331</v>
      </c>
      <c r="AD5" s="132">
        <f t="shared" si="21"/>
        <v>0.16610715115876226</v>
      </c>
      <c r="AE5" s="132">
        <f t="shared" si="22"/>
        <v>0.56855007851818773</v>
      </c>
      <c r="AF5" s="69">
        <f t="shared" si="23"/>
        <v>7137964.7819999997</v>
      </c>
      <c r="AG5" s="69">
        <f t="shared" si="24"/>
        <v>3097935.6459999997</v>
      </c>
      <c r="AH5" s="69">
        <f t="shared" si="25"/>
        <v>1169218.6479999998</v>
      </c>
      <c r="AI5" s="69">
        <f t="shared" si="26"/>
        <v>750558.87399999984</v>
      </c>
      <c r="AJ5" s="69">
        <f t="shared" si="27"/>
        <v>1178158.1239999998</v>
      </c>
      <c r="AK5" s="69">
        <f t="shared" si="28"/>
        <v>4040029.1359999995</v>
      </c>
      <c r="AL5" s="69">
        <f t="shared" si="29"/>
        <v>7329262.2381576002</v>
      </c>
      <c r="AM5" s="69">
        <f t="shared" si="30"/>
        <v>3180960.3213128</v>
      </c>
      <c r="AN5" s="69">
        <f t="shared" si="31"/>
        <v>1200553.7077664</v>
      </c>
      <c r="AO5" s="69">
        <f t="shared" si="32"/>
        <v>770673.85182320001</v>
      </c>
      <c r="AP5" s="69">
        <f t="shared" si="33"/>
        <v>1209732.7617232001</v>
      </c>
      <c r="AQ5" s="69">
        <f t="shared" si="34"/>
        <v>4148301.9168448001</v>
      </c>
      <c r="AR5" s="69">
        <f t="shared" si="35"/>
        <v>4886174.8254383998</v>
      </c>
      <c r="AS5" s="69">
        <f t="shared" si="36"/>
        <v>2120640.2142085331</v>
      </c>
      <c r="AT5" s="69">
        <f t="shared" si="37"/>
        <v>800369.13851093326</v>
      </c>
      <c r="AU5" s="69">
        <f t="shared" si="38"/>
        <v>513782.56788213336</v>
      </c>
      <c r="AV5" s="69">
        <f t="shared" si="39"/>
        <v>806488.50781546673</v>
      </c>
      <c r="AW5" s="69">
        <f t="shared" si="40"/>
        <v>2765534.6112298667</v>
      </c>
      <c r="AX5" s="69">
        <f>'5.1.1 Nakłady B+R'!B7*1000</f>
        <v>654875.52</v>
      </c>
      <c r="AY5" s="69">
        <f t="shared" si="41"/>
        <v>222985.11455999999</v>
      </c>
      <c r="AZ5" s="69">
        <f t="shared" si="42"/>
        <v>18467.489664000001</v>
      </c>
      <c r="BA5" s="69">
        <f t="shared" si="43"/>
        <v>63457.437888</v>
      </c>
      <c r="BB5" s="69">
        <f t="shared" si="44"/>
        <v>141060.18700799998</v>
      </c>
      <c r="BC5" s="69">
        <f t="shared" si="45"/>
        <v>431890.40544</v>
      </c>
      <c r="BD5" s="69">
        <f>'5.1.1 Nakłady B+R'!C7*1000</f>
        <v>677141.28768000007</v>
      </c>
      <c r="BE5" s="69">
        <f t="shared" si="46"/>
        <v>230566.60845504003</v>
      </c>
      <c r="BF5" s="69">
        <f t="shared" si="47"/>
        <v>19095.384312576003</v>
      </c>
      <c r="BG5" s="69">
        <f t="shared" si="48"/>
        <v>65614.990776192004</v>
      </c>
      <c r="BH5" s="69">
        <f t="shared" si="49"/>
        <v>145856.233366272</v>
      </c>
      <c r="BI5" s="69">
        <f t="shared" si="56"/>
        <v>446574.67922496004</v>
      </c>
      <c r="BJ5" s="69">
        <f t="shared" si="50"/>
        <v>12892578.351276001</v>
      </c>
      <c r="BK5" s="69">
        <f t="shared" si="51"/>
        <v>5532167.1439763736</v>
      </c>
      <c r="BL5" s="69">
        <f t="shared" si="52"/>
        <v>2020018.2305899092</v>
      </c>
      <c r="BM5" s="69">
        <f t="shared" si="53"/>
        <v>1350071.4104815254</v>
      </c>
      <c r="BN5" s="69">
        <f t="shared" si="54"/>
        <v>2162077.5029049385</v>
      </c>
      <c r="BO5" s="133">
        <f t="shared" si="55"/>
        <v>7360411.2072996274</v>
      </c>
    </row>
    <row r="6" spans="1:67" x14ac:dyDescent="0.25">
      <c r="A6" s="131" t="s">
        <v>5</v>
      </c>
      <c r="B6" s="69">
        <v>3208928</v>
      </c>
      <c r="C6" s="69">
        <f t="shared" si="0"/>
        <v>1914496</v>
      </c>
      <c r="D6" s="69">
        <v>516979</v>
      </c>
      <c r="E6" s="69">
        <v>419505</v>
      </c>
      <c r="F6" s="69">
        <v>978012</v>
      </c>
      <c r="G6" s="69">
        <v>1294432</v>
      </c>
      <c r="H6" s="69">
        <f t="shared" si="1"/>
        <v>2139285.3333333335</v>
      </c>
      <c r="I6" s="69">
        <f t="shared" si="2"/>
        <v>1276330.6666666667</v>
      </c>
      <c r="J6" s="69">
        <f t="shared" si="3"/>
        <v>344652.66666666669</v>
      </c>
      <c r="K6" s="69">
        <f t="shared" si="4"/>
        <v>279670</v>
      </c>
      <c r="L6" s="69">
        <f t="shared" si="5"/>
        <v>652008</v>
      </c>
      <c r="M6" s="69">
        <f t="shared" si="6"/>
        <v>862954.66666666663</v>
      </c>
      <c r="N6" s="69">
        <v>170185.8</v>
      </c>
      <c r="O6" s="69">
        <f t="shared" si="7"/>
        <v>56501.685599999997</v>
      </c>
      <c r="P6" s="69">
        <f t="shared" si="8"/>
        <v>4424.8307999999997</v>
      </c>
      <c r="Q6" s="69">
        <f t="shared" si="9"/>
        <v>16848.394199999999</v>
      </c>
      <c r="R6" s="69">
        <f t="shared" si="10"/>
        <v>35228.460599999999</v>
      </c>
      <c r="S6" s="69">
        <f t="shared" si="11"/>
        <v>113684.11439999998</v>
      </c>
      <c r="T6" s="69">
        <f t="shared" si="12"/>
        <v>5518399.1333333328</v>
      </c>
      <c r="U6" s="69">
        <f t="shared" si="13"/>
        <v>3247328.3522666665</v>
      </c>
      <c r="V6" s="69">
        <f t="shared" si="14"/>
        <v>866056.49746666674</v>
      </c>
      <c r="W6" s="69">
        <f t="shared" si="15"/>
        <v>716023.39419999998</v>
      </c>
      <c r="X6" s="69">
        <f t="shared" si="16"/>
        <v>1665248.4606000001</v>
      </c>
      <c r="Y6" s="69">
        <f t="shared" si="17"/>
        <v>2271070.7810666664</v>
      </c>
      <c r="Z6" s="132">
        <v>1</v>
      </c>
      <c r="AA6" s="132">
        <f t="shared" si="18"/>
        <v>0.58845478078080782</v>
      </c>
      <c r="AB6" s="132">
        <f t="shared" si="19"/>
        <v>0.15693980745889508</v>
      </c>
      <c r="AC6" s="132">
        <f t="shared" si="20"/>
        <v>0.12975201265797048</v>
      </c>
      <c r="AD6" s="132">
        <f t="shared" si="21"/>
        <v>0.30176296066394237</v>
      </c>
      <c r="AE6" s="132">
        <f t="shared" si="22"/>
        <v>0.41154521921919213</v>
      </c>
      <c r="AF6" s="69">
        <f t="shared" si="23"/>
        <v>3420717.2479999997</v>
      </c>
      <c r="AG6" s="69">
        <f t="shared" si="24"/>
        <v>2040852.7359999996</v>
      </c>
      <c r="AH6" s="69">
        <f t="shared" si="25"/>
        <v>551099.61399999994</v>
      </c>
      <c r="AI6" s="69">
        <f t="shared" si="26"/>
        <v>447192.32999999996</v>
      </c>
      <c r="AJ6" s="69">
        <f t="shared" si="27"/>
        <v>1042560.7919999998</v>
      </c>
      <c r="AK6" s="69">
        <f t="shared" si="28"/>
        <v>1379864.5119999999</v>
      </c>
      <c r="AL6" s="69">
        <f t="shared" si="29"/>
        <v>3512392.4702464002</v>
      </c>
      <c r="AM6" s="69">
        <f t="shared" si="30"/>
        <v>2095547.5893248001</v>
      </c>
      <c r="AN6" s="69">
        <f t="shared" si="31"/>
        <v>565869.08365520008</v>
      </c>
      <c r="AO6" s="69">
        <f t="shared" si="32"/>
        <v>459177.08444400004</v>
      </c>
      <c r="AP6" s="69">
        <f t="shared" si="33"/>
        <v>1070501.4212255999</v>
      </c>
      <c r="AQ6" s="69">
        <f t="shared" si="34"/>
        <v>1416844.8809216002</v>
      </c>
      <c r="AR6" s="69">
        <f t="shared" si="35"/>
        <v>2341594.9801642667</v>
      </c>
      <c r="AS6" s="69">
        <f t="shared" si="36"/>
        <v>1397031.7262165332</v>
      </c>
      <c r="AT6" s="69">
        <f t="shared" si="37"/>
        <v>377246.05577013339</v>
      </c>
      <c r="AU6" s="69">
        <f t="shared" si="38"/>
        <v>306118.05629600002</v>
      </c>
      <c r="AV6" s="69">
        <f t="shared" si="39"/>
        <v>713667.61415039992</v>
      </c>
      <c r="AW6" s="69">
        <f t="shared" si="40"/>
        <v>944563.25394773344</v>
      </c>
      <c r="AX6" s="69">
        <f>'5.1.1 Nakłady B+R'!B8*1000</f>
        <v>382853.12</v>
      </c>
      <c r="AY6" s="69">
        <f t="shared" si="41"/>
        <v>130361.48736</v>
      </c>
      <c r="AZ6" s="69">
        <f t="shared" si="42"/>
        <v>10796.457983999999</v>
      </c>
      <c r="BA6" s="69">
        <f t="shared" si="43"/>
        <v>37098.467327999999</v>
      </c>
      <c r="BB6" s="69">
        <f t="shared" si="44"/>
        <v>82466.562047999993</v>
      </c>
      <c r="BC6" s="69">
        <f t="shared" si="45"/>
        <v>252491.63264</v>
      </c>
      <c r="BD6" s="69">
        <f>'5.1.1 Nakłady B+R'!C8*1000</f>
        <v>395870.12608000002</v>
      </c>
      <c r="BE6" s="69">
        <f t="shared" si="46"/>
        <v>134793.77793024</v>
      </c>
      <c r="BF6" s="69">
        <f t="shared" si="47"/>
        <v>11163.537555456</v>
      </c>
      <c r="BG6" s="69">
        <f t="shared" si="48"/>
        <v>38359.815217152005</v>
      </c>
      <c r="BH6" s="69">
        <f t="shared" si="49"/>
        <v>85270.425157631995</v>
      </c>
      <c r="BI6" s="69">
        <f t="shared" si="56"/>
        <v>261076.34814976002</v>
      </c>
      <c r="BJ6" s="69">
        <f t="shared" si="50"/>
        <v>6249857.5764906667</v>
      </c>
      <c r="BK6" s="69">
        <f t="shared" si="51"/>
        <v>3627373.0934715737</v>
      </c>
      <c r="BL6" s="69">
        <f t="shared" si="52"/>
        <v>954278.67698078952</v>
      </c>
      <c r="BM6" s="69">
        <f t="shared" si="53"/>
        <v>803654.95595715207</v>
      </c>
      <c r="BN6" s="69">
        <f t="shared" si="54"/>
        <v>1869439.460533632</v>
      </c>
      <c r="BO6" s="133">
        <f t="shared" si="55"/>
        <v>2622484.4830190935</v>
      </c>
    </row>
    <row r="7" spans="1:67" x14ac:dyDescent="0.25">
      <c r="A7" s="131" t="s">
        <v>6</v>
      </c>
      <c r="B7" s="69">
        <v>13529002</v>
      </c>
      <c r="C7" s="69">
        <f t="shared" si="0"/>
        <v>4481575</v>
      </c>
      <c r="D7" s="69">
        <v>1454436</v>
      </c>
      <c r="E7" s="69">
        <v>999451</v>
      </c>
      <c r="F7" s="69">
        <v>2027688</v>
      </c>
      <c r="G7" s="69">
        <v>9047427</v>
      </c>
      <c r="H7" s="69">
        <f t="shared" si="1"/>
        <v>9019334.666666666</v>
      </c>
      <c r="I7" s="69">
        <f t="shared" si="2"/>
        <v>2987716.6666666665</v>
      </c>
      <c r="J7" s="69">
        <f t="shared" si="3"/>
        <v>969624</v>
      </c>
      <c r="K7" s="69">
        <f t="shared" si="4"/>
        <v>666300.66666666663</v>
      </c>
      <c r="L7" s="69">
        <f t="shared" si="5"/>
        <v>1351792</v>
      </c>
      <c r="M7" s="69">
        <f t="shared" si="6"/>
        <v>6031618</v>
      </c>
      <c r="N7" s="69">
        <v>611628.19999999995</v>
      </c>
      <c r="O7" s="69">
        <f t="shared" si="7"/>
        <v>203060.5624</v>
      </c>
      <c r="P7" s="69">
        <f t="shared" si="8"/>
        <v>15902.333200000001</v>
      </c>
      <c r="Q7" s="69">
        <f t="shared" si="9"/>
        <v>60551.191800000001</v>
      </c>
      <c r="R7" s="69">
        <f t="shared" si="10"/>
        <v>126607.03739999999</v>
      </c>
      <c r="S7" s="69">
        <f t="shared" si="11"/>
        <v>408567.6375999999</v>
      </c>
      <c r="T7" s="69">
        <f t="shared" si="12"/>
        <v>23159964.866666667</v>
      </c>
      <c r="U7" s="69">
        <f t="shared" si="13"/>
        <v>7672352.2290666662</v>
      </c>
      <c r="V7" s="69">
        <f t="shared" si="14"/>
        <v>2439962.3332000002</v>
      </c>
      <c r="W7" s="69">
        <f t="shared" si="15"/>
        <v>1726302.8584666664</v>
      </c>
      <c r="X7" s="69">
        <f t="shared" si="16"/>
        <v>3506087.0373999998</v>
      </c>
      <c r="Y7" s="69">
        <f t="shared" si="17"/>
        <v>15487612.637599999</v>
      </c>
      <c r="Z7" s="132">
        <v>1</v>
      </c>
      <c r="AA7" s="132">
        <f t="shared" si="18"/>
        <v>0.33127650552308119</v>
      </c>
      <c r="AB7" s="132">
        <f t="shared" si="19"/>
        <v>0.1053525921670008</v>
      </c>
      <c r="AC7" s="132">
        <f t="shared" si="20"/>
        <v>7.4538233041591268E-2</v>
      </c>
      <c r="AD7" s="132">
        <f t="shared" si="21"/>
        <v>0.15138568031448912</v>
      </c>
      <c r="AE7" s="132">
        <f t="shared" si="22"/>
        <v>0.6687234944769187</v>
      </c>
      <c r="AF7" s="69">
        <f t="shared" si="23"/>
        <v>14421916.131999997</v>
      </c>
      <c r="AG7" s="69">
        <f t="shared" si="24"/>
        <v>4777358.9499999993</v>
      </c>
      <c r="AH7" s="69">
        <f t="shared" si="25"/>
        <v>1550428.7759999998</v>
      </c>
      <c r="AI7" s="69">
        <f t="shared" si="26"/>
        <v>1065414.7659999998</v>
      </c>
      <c r="AJ7" s="69">
        <f t="shared" si="27"/>
        <v>2161515.4079999998</v>
      </c>
      <c r="AK7" s="69">
        <f t="shared" si="28"/>
        <v>9644557.1819999982</v>
      </c>
      <c r="AL7" s="69">
        <f t="shared" si="29"/>
        <v>14808423.4843376</v>
      </c>
      <c r="AM7" s="69">
        <f t="shared" si="30"/>
        <v>4905392.1698599998</v>
      </c>
      <c r="AN7" s="69">
        <f t="shared" si="31"/>
        <v>1591980.2671968001</v>
      </c>
      <c r="AO7" s="69">
        <f t="shared" si="32"/>
        <v>1093967.8817288</v>
      </c>
      <c r="AP7" s="69">
        <f t="shared" si="33"/>
        <v>2219444.0209344001</v>
      </c>
      <c r="AQ7" s="69">
        <f t="shared" si="34"/>
        <v>9903031.3144776002</v>
      </c>
      <c r="AR7" s="69">
        <f t="shared" si="35"/>
        <v>9872282.3228917327</v>
      </c>
      <c r="AS7" s="69">
        <f t="shared" si="36"/>
        <v>3270261.4465733333</v>
      </c>
      <c r="AT7" s="69">
        <f t="shared" si="37"/>
        <v>1061320.1781312001</v>
      </c>
      <c r="AU7" s="69">
        <f t="shared" si="38"/>
        <v>729311.92115253338</v>
      </c>
      <c r="AV7" s="69">
        <f t="shared" si="39"/>
        <v>1479629.3472895999</v>
      </c>
      <c r="AW7" s="69">
        <f t="shared" si="40"/>
        <v>6602020.8763183998</v>
      </c>
      <c r="AX7" s="69">
        <f>'5.1.1 Nakłady B+R'!B9*1000</f>
        <v>1051739.52</v>
      </c>
      <c r="AY7" s="69">
        <f t="shared" si="41"/>
        <v>358117.30655999994</v>
      </c>
      <c r="AZ7" s="69">
        <f t="shared" si="42"/>
        <v>29659.054464000001</v>
      </c>
      <c r="BA7" s="69">
        <f t="shared" si="43"/>
        <v>101913.559488</v>
      </c>
      <c r="BB7" s="69">
        <f t="shared" si="44"/>
        <v>226544.69260799998</v>
      </c>
      <c r="BC7" s="69">
        <f t="shared" si="45"/>
        <v>693622.21343999996</v>
      </c>
      <c r="BD7" s="69">
        <f>'5.1.1 Nakłady B+R'!C9*1000</f>
        <v>1087498.66368</v>
      </c>
      <c r="BE7" s="69">
        <f t="shared" si="46"/>
        <v>370293.29498303996</v>
      </c>
      <c r="BF7" s="69">
        <f t="shared" si="47"/>
        <v>30667.462315776</v>
      </c>
      <c r="BG7" s="69">
        <f t="shared" si="48"/>
        <v>105378.62051059199</v>
      </c>
      <c r="BH7" s="69">
        <f t="shared" si="49"/>
        <v>234247.21215667197</v>
      </c>
      <c r="BI7" s="69">
        <f t="shared" si="56"/>
        <v>717205.36869695992</v>
      </c>
      <c r="BJ7" s="69">
        <f t="shared" si="50"/>
        <v>25768204.470909335</v>
      </c>
      <c r="BK7" s="69">
        <f t="shared" si="51"/>
        <v>8545946.9114163741</v>
      </c>
      <c r="BL7" s="69">
        <f t="shared" si="52"/>
        <v>2683967.9076437764</v>
      </c>
      <c r="BM7" s="69">
        <f t="shared" si="53"/>
        <v>1928658.4233919254</v>
      </c>
      <c r="BN7" s="69">
        <f t="shared" si="54"/>
        <v>3933320.5803806721</v>
      </c>
      <c r="BO7" s="133">
        <f t="shared" si="55"/>
        <v>17222257.559492961</v>
      </c>
    </row>
    <row r="8" spans="1:67" x14ac:dyDescent="0.25">
      <c r="A8" s="131" t="s">
        <v>7</v>
      </c>
      <c r="B8" s="69">
        <v>14708203</v>
      </c>
      <c r="C8" s="69">
        <f t="shared" si="0"/>
        <v>7456544</v>
      </c>
      <c r="D8" s="69">
        <v>3060950</v>
      </c>
      <c r="E8" s="69">
        <v>1412309</v>
      </c>
      <c r="F8" s="69">
        <v>2983285</v>
      </c>
      <c r="G8" s="69">
        <v>7251659</v>
      </c>
      <c r="H8" s="69">
        <f t="shared" si="1"/>
        <v>9805468.666666666</v>
      </c>
      <c r="I8" s="69">
        <f t="shared" si="2"/>
        <v>4971029.333333333</v>
      </c>
      <c r="J8" s="69">
        <f t="shared" si="3"/>
        <v>2040633.3333333333</v>
      </c>
      <c r="K8" s="69">
        <f t="shared" si="4"/>
        <v>941539.33333333337</v>
      </c>
      <c r="L8" s="69">
        <f t="shared" si="5"/>
        <v>1988856.6666666667</v>
      </c>
      <c r="M8" s="69">
        <f t="shared" si="6"/>
        <v>4834439.333333333</v>
      </c>
      <c r="N8" s="69">
        <v>2427350.6</v>
      </c>
      <c r="O8" s="69">
        <f t="shared" si="7"/>
        <v>805880.39919999999</v>
      </c>
      <c r="P8" s="69">
        <f t="shared" si="8"/>
        <v>63111.115600000005</v>
      </c>
      <c r="Q8" s="69">
        <f t="shared" si="9"/>
        <v>240307.70940000002</v>
      </c>
      <c r="R8" s="69">
        <f t="shared" si="10"/>
        <v>502461.57419999997</v>
      </c>
      <c r="S8" s="69">
        <f t="shared" si="11"/>
        <v>1621470.2008</v>
      </c>
      <c r="T8" s="69">
        <f t="shared" si="12"/>
        <v>26941022.266666666</v>
      </c>
      <c r="U8" s="69">
        <f t="shared" si="13"/>
        <v>13233453.732533334</v>
      </c>
      <c r="V8" s="69">
        <f t="shared" si="14"/>
        <v>5164694.4489333332</v>
      </c>
      <c r="W8" s="69">
        <f t="shared" si="15"/>
        <v>2594156.0427333335</v>
      </c>
      <c r="X8" s="69">
        <f t="shared" si="16"/>
        <v>5474603.2408666667</v>
      </c>
      <c r="Y8" s="69">
        <f t="shared" si="17"/>
        <v>13707568.534133332</v>
      </c>
      <c r="Z8" s="132">
        <v>1</v>
      </c>
      <c r="AA8" s="132">
        <f t="shared" si="18"/>
        <v>0.49120087580740013</v>
      </c>
      <c r="AB8" s="132">
        <f t="shared" si="19"/>
        <v>0.19170372964367643</v>
      </c>
      <c r="AC8" s="132">
        <f t="shared" si="20"/>
        <v>9.6290185912618703E-2</v>
      </c>
      <c r="AD8" s="132">
        <f t="shared" si="21"/>
        <v>0.20320696025110496</v>
      </c>
      <c r="AE8" s="132">
        <f t="shared" si="22"/>
        <v>0.50879912419259987</v>
      </c>
      <c r="AF8" s="69">
        <f t="shared" si="23"/>
        <v>15678944.397999998</v>
      </c>
      <c r="AG8" s="69">
        <f t="shared" si="24"/>
        <v>7948675.9039999992</v>
      </c>
      <c r="AH8" s="69">
        <f t="shared" si="25"/>
        <v>3262972.6999999997</v>
      </c>
      <c r="AI8" s="69">
        <f t="shared" si="26"/>
        <v>1505521.3939999999</v>
      </c>
      <c r="AJ8" s="69">
        <f t="shared" si="27"/>
        <v>3180181.8099999996</v>
      </c>
      <c r="AK8" s="69">
        <f t="shared" si="28"/>
        <v>7730268.493999999</v>
      </c>
      <c r="AL8" s="69">
        <f t="shared" si="29"/>
        <v>16099140.107866401</v>
      </c>
      <c r="AM8" s="69">
        <f t="shared" si="30"/>
        <v>8161700.4182272004</v>
      </c>
      <c r="AN8" s="69">
        <f t="shared" si="31"/>
        <v>3350420.3683600002</v>
      </c>
      <c r="AO8" s="69">
        <f t="shared" si="32"/>
        <v>1545869.3673592</v>
      </c>
      <c r="AP8" s="69">
        <f t="shared" si="33"/>
        <v>3265410.6825080002</v>
      </c>
      <c r="AQ8" s="69">
        <f t="shared" si="34"/>
        <v>7937439.6896392005</v>
      </c>
      <c r="AR8" s="69">
        <f t="shared" si="35"/>
        <v>10732760.071910933</v>
      </c>
      <c r="AS8" s="69">
        <f t="shared" si="36"/>
        <v>5441133.6121514663</v>
      </c>
      <c r="AT8" s="69">
        <f t="shared" si="37"/>
        <v>2233613.578906667</v>
      </c>
      <c r="AU8" s="69">
        <f t="shared" si="38"/>
        <v>1030579.5782394668</v>
      </c>
      <c r="AV8" s="69">
        <f t="shared" si="39"/>
        <v>2176940.4550053333</v>
      </c>
      <c r="AW8" s="69">
        <f t="shared" si="40"/>
        <v>5291626.4597594673</v>
      </c>
      <c r="AX8" s="69">
        <f>'5.1.1 Nakłady B+R'!B10*1000</f>
        <v>1433361.28</v>
      </c>
      <c r="AY8" s="69">
        <f t="shared" si="41"/>
        <v>488059.51584000001</v>
      </c>
      <c r="AZ8" s="69">
        <f t="shared" si="42"/>
        <v>40420.788095999997</v>
      </c>
      <c r="BA8" s="69">
        <f t="shared" si="43"/>
        <v>138892.708032</v>
      </c>
      <c r="BB8" s="69">
        <f t="shared" si="44"/>
        <v>308746.01971199998</v>
      </c>
      <c r="BC8" s="69">
        <f t="shared" si="45"/>
        <v>945301.76416000002</v>
      </c>
      <c r="BD8" s="69">
        <f>'5.1.1 Nakłady B+R'!C10*1000</f>
        <v>1482095.5635200001</v>
      </c>
      <c r="BE8" s="69">
        <f t="shared" si="46"/>
        <v>504653.53937856003</v>
      </c>
      <c r="BF8" s="69">
        <f t="shared" si="47"/>
        <v>41795.094891264001</v>
      </c>
      <c r="BG8" s="69">
        <f t="shared" si="48"/>
        <v>143615.06010508802</v>
      </c>
      <c r="BH8" s="69">
        <f t="shared" si="49"/>
        <v>319243.38438220799</v>
      </c>
      <c r="BI8" s="69">
        <f t="shared" si="56"/>
        <v>977442.02414144005</v>
      </c>
      <c r="BJ8" s="69">
        <f t="shared" si="50"/>
        <v>28313995.743297335</v>
      </c>
      <c r="BK8" s="69">
        <f t="shared" si="51"/>
        <v>14107487.569757227</v>
      </c>
      <c r="BL8" s="69">
        <f t="shared" si="52"/>
        <v>5625829.0421579313</v>
      </c>
      <c r="BM8" s="69">
        <f t="shared" si="53"/>
        <v>2720064.0057037547</v>
      </c>
      <c r="BN8" s="69">
        <f t="shared" si="54"/>
        <v>5761594.5218955409</v>
      </c>
      <c r="BO8" s="133">
        <f t="shared" si="55"/>
        <v>14206508.173540108</v>
      </c>
    </row>
    <row r="9" spans="1:67" x14ac:dyDescent="0.25">
      <c r="A9" s="131" t="s">
        <v>8</v>
      </c>
      <c r="B9" s="69">
        <v>70844144</v>
      </c>
      <c r="C9" s="69">
        <f t="shared" si="0"/>
        <v>27178873</v>
      </c>
      <c r="D9" s="69">
        <v>12966768</v>
      </c>
      <c r="E9" s="69">
        <v>4317318</v>
      </c>
      <c r="F9" s="69">
        <v>9894787</v>
      </c>
      <c r="G9" s="69">
        <v>43665271</v>
      </c>
      <c r="H9" s="69">
        <f t="shared" si="1"/>
        <v>47229429.333333336</v>
      </c>
      <c r="I9" s="69">
        <f t="shared" si="2"/>
        <v>18119248.666666668</v>
      </c>
      <c r="J9" s="69">
        <f t="shared" si="3"/>
        <v>8644512</v>
      </c>
      <c r="K9" s="69">
        <f t="shared" si="4"/>
        <v>2878212</v>
      </c>
      <c r="L9" s="69">
        <f t="shared" si="5"/>
        <v>6596524.666666667</v>
      </c>
      <c r="M9" s="69">
        <f t="shared" si="6"/>
        <v>29110180.666666668</v>
      </c>
      <c r="N9" s="69">
        <v>6826997.7000000002</v>
      </c>
      <c r="O9" s="69">
        <f t="shared" si="7"/>
        <v>2266563.2363999998</v>
      </c>
      <c r="P9" s="69">
        <f t="shared" si="8"/>
        <v>177501.94020000001</v>
      </c>
      <c r="Q9" s="69">
        <f t="shared" si="9"/>
        <v>675872.77230000007</v>
      </c>
      <c r="R9" s="69">
        <f t="shared" si="10"/>
        <v>1413188.5238999999</v>
      </c>
      <c r="S9" s="69">
        <f t="shared" si="11"/>
        <v>4560434.4635999994</v>
      </c>
      <c r="T9" s="69">
        <f t="shared" si="12"/>
        <v>124900571.03333333</v>
      </c>
      <c r="U9" s="69">
        <f t="shared" si="13"/>
        <v>47564684.903066665</v>
      </c>
      <c r="V9" s="69">
        <f t="shared" si="14"/>
        <v>21788781.940200001</v>
      </c>
      <c r="W9" s="69">
        <f t="shared" si="15"/>
        <v>7871402.7723000003</v>
      </c>
      <c r="X9" s="69">
        <f t="shared" si="16"/>
        <v>17904500.190566666</v>
      </c>
      <c r="Y9" s="69">
        <f t="shared" si="17"/>
        <v>77335886.130266666</v>
      </c>
      <c r="Z9" s="132">
        <v>1</v>
      </c>
      <c r="AA9" s="132">
        <f t="shared" si="18"/>
        <v>0.38082039585209465</v>
      </c>
      <c r="AB9" s="132">
        <f t="shared" si="19"/>
        <v>0.17444901780621191</v>
      </c>
      <c r="AC9" s="132">
        <f t="shared" si="20"/>
        <v>6.302135136115021E-2</v>
      </c>
      <c r="AD9" s="132">
        <f t="shared" si="21"/>
        <v>0.14335002668473254</v>
      </c>
      <c r="AE9" s="132">
        <f t="shared" si="22"/>
        <v>0.6191796041479054</v>
      </c>
      <c r="AF9" s="69">
        <f t="shared" si="23"/>
        <v>75519857.503999978</v>
      </c>
      <c r="AG9" s="69">
        <f t="shared" si="24"/>
        <v>28972678.617999993</v>
      </c>
      <c r="AH9" s="69">
        <f t="shared" si="25"/>
        <v>13822574.687999997</v>
      </c>
      <c r="AI9" s="69">
        <f t="shared" si="26"/>
        <v>4602260.987999999</v>
      </c>
      <c r="AJ9" s="69">
        <f t="shared" si="27"/>
        <v>10547842.941999998</v>
      </c>
      <c r="AK9" s="69">
        <f t="shared" si="28"/>
        <v>46547178.885999992</v>
      </c>
      <c r="AL9" s="69">
        <f t="shared" si="29"/>
        <v>77543789.685107201</v>
      </c>
      <c r="AM9" s="69">
        <f t="shared" si="30"/>
        <v>29749146.404962398</v>
      </c>
      <c r="AN9" s="69">
        <f t="shared" si="31"/>
        <v>14193019.689638399</v>
      </c>
      <c r="AO9" s="69">
        <f t="shared" si="32"/>
        <v>4725601.5824783994</v>
      </c>
      <c r="AP9" s="69">
        <f t="shared" si="33"/>
        <v>10830525.132845599</v>
      </c>
      <c r="AQ9" s="69">
        <f t="shared" si="34"/>
        <v>47794643.280144803</v>
      </c>
      <c r="AR9" s="69">
        <f t="shared" si="35"/>
        <v>51695859.790071473</v>
      </c>
      <c r="AS9" s="69">
        <f t="shared" si="36"/>
        <v>19832764.269974932</v>
      </c>
      <c r="AT9" s="69">
        <f t="shared" si="37"/>
        <v>9462013.1264255997</v>
      </c>
      <c r="AU9" s="69">
        <f t="shared" si="38"/>
        <v>3150401.0549855996</v>
      </c>
      <c r="AV9" s="69">
        <f t="shared" si="39"/>
        <v>7220350.0885637319</v>
      </c>
      <c r="AW9" s="69">
        <f t="shared" si="40"/>
        <v>31863095.520096537</v>
      </c>
      <c r="AX9" s="69">
        <f>'5.1.1 Nakłady B+R'!B11*1000</f>
        <v>3978033.2800000007</v>
      </c>
      <c r="AY9" s="69">
        <f t="shared" si="41"/>
        <v>1354520.3318400001</v>
      </c>
      <c r="AZ9" s="69">
        <f t="shared" si="42"/>
        <v>112180.53849600002</v>
      </c>
      <c r="BA9" s="69">
        <f t="shared" si="43"/>
        <v>385471.42483200005</v>
      </c>
      <c r="BB9" s="69">
        <f t="shared" si="44"/>
        <v>856868.36851200007</v>
      </c>
      <c r="BC9" s="69">
        <f t="shared" si="45"/>
        <v>2623512.9481600006</v>
      </c>
      <c r="BD9" s="69">
        <f>'5.1.1 Nakłady B+R'!C11*1000</f>
        <v>4113286.411520001</v>
      </c>
      <c r="BE9" s="69">
        <f t="shared" si="46"/>
        <v>1400574.0231225602</v>
      </c>
      <c r="BF9" s="69">
        <f t="shared" si="47"/>
        <v>115994.67680486402</v>
      </c>
      <c r="BG9" s="69">
        <f t="shared" si="48"/>
        <v>398577.45327628811</v>
      </c>
      <c r="BH9" s="69">
        <f t="shared" si="49"/>
        <v>886001.89304140816</v>
      </c>
      <c r="BI9" s="69">
        <f t="shared" si="56"/>
        <v>2712712.3883974408</v>
      </c>
      <c r="BJ9" s="69">
        <f t="shared" si="50"/>
        <v>133352935.88669866</v>
      </c>
      <c r="BK9" s="69">
        <f t="shared" si="51"/>
        <v>50982484.698059887</v>
      </c>
      <c r="BL9" s="69">
        <f t="shared" si="52"/>
        <v>23771027.492868863</v>
      </c>
      <c r="BM9" s="69">
        <f t="shared" si="53"/>
        <v>8274580.0907402877</v>
      </c>
      <c r="BN9" s="69">
        <f t="shared" si="54"/>
        <v>18936877.114450738</v>
      </c>
      <c r="BO9" s="133">
        <f t="shared" si="55"/>
        <v>82370451.188638777</v>
      </c>
    </row>
    <row r="10" spans="1:67" x14ac:dyDescent="0.25">
      <c r="A10" s="131" t="s">
        <v>9</v>
      </c>
      <c r="B10" s="69">
        <v>3207296</v>
      </c>
      <c r="C10" s="69">
        <f t="shared" si="0"/>
        <v>2019834</v>
      </c>
      <c r="D10" s="69">
        <v>762175</v>
      </c>
      <c r="E10" s="69">
        <v>360443</v>
      </c>
      <c r="F10" s="69">
        <v>897216</v>
      </c>
      <c r="G10" s="69">
        <v>1187462</v>
      </c>
      <c r="H10" s="69">
        <f t="shared" si="1"/>
        <v>2138197.3333333335</v>
      </c>
      <c r="I10" s="69">
        <f t="shared" si="2"/>
        <v>1346556</v>
      </c>
      <c r="J10" s="69">
        <f t="shared" si="3"/>
        <v>508116.66666666669</v>
      </c>
      <c r="K10" s="69">
        <f t="shared" si="4"/>
        <v>240295.33333333334</v>
      </c>
      <c r="L10" s="69">
        <f t="shared" si="5"/>
        <v>598144</v>
      </c>
      <c r="M10" s="69">
        <f t="shared" si="6"/>
        <v>791641.33333333337</v>
      </c>
      <c r="N10" s="69">
        <v>204514.2</v>
      </c>
      <c r="O10" s="69">
        <f t="shared" si="7"/>
        <v>67898.714399999997</v>
      </c>
      <c r="P10" s="69">
        <f t="shared" si="8"/>
        <v>5317.369200000001</v>
      </c>
      <c r="Q10" s="69">
        <f t="shared" si="9"/>
        <v>20246.9058</v>
      </c>
      <c r="R10" s="69">
        <f t="shared" si="10"/>
        <v>42334.439400000003</v>
      </c>
      <c r="S10" s="69">
        <f t="shared" si="11"/>
        <v>136615.48559999999</v>
      </c>
      <c r="T10" s="69">
        <f t="shared" si="12"/>
        <v>5550007.5333333332</v>
      </c>
      <c r="U10" s="69">
        <f t="shared" si="13"/>
        <v>3434288.7143999999</v>
      </c>
      <c r="V10" s="69">
        <f t="shared" si="14"/>
        <v>1275609.0358666668</v>
      </c>
      <c r="W10" s="69">
        <f t="shared" si="15"/>
        <v>620985.23913333332</v>
      </c>
      <c r="X10" s="69">
        <f t="shared" si="16"/>
        <v>1537694.4394</v>
      </c>
      <c r="Y10" s="69">
        <f t="shared" si="17"/>
        <v>2115718.8189333333</v>
      </c>
      <c r="Z10" s="132">
        <v>1</v>
      </c>
      <c r="AA10" s="132">
        <f t="shared" si="18"/>
        <v>0.61878991943230155</v>
      </c>
      <c r="AB10" s="132">
        <f t="shared" si="19"/>
        <v>0.22983915394805535</v>
      </c>
      <c r="AC10" s="132">
        <f t="shared" si="20"/>
        <v>0.11188908040280979</v>
      </c>
      <c r="AD10" s="132">
        <f t="shared" si="21"/>
        <v>0.27706168508143647</v>
      </c>
      <c r="AE10" s="132">
        <f t="shared" si="22"/>
        <v>0.38121008056769845</v>
      </c>
      <c r="AF10" s="69">
        <f t="shared" si="23"/>
        <v>3418977.5359999994</v>
      </c>
      <c r="AG10" s="69">
        <f t="shared" si="24"/>
        <v>2153143.0439999998</v>
      </c>
      <c r="AH10" s="69">
        <f t="shared" si="25"/>
        <v>812478.54999999993</v>
      </c>
      <c r="AI10" s="69">
        <f t="shared" si="26"/>
        <v>384232.23799999995</v>
      </c>
      <c r="AJ10" s="69">
        <f t="shared" si="27"/>
        <v>956432.25599999982</v>
      </c>
      <c r="AK10" s="69">
        <f t="shared" si="28"/>
        <v>1265834.4919999999</v>
      </c>
      <c r="AL10" s="69">
        <f t="shared" si="29"/>
        <v>3510606.1339648003</v>
      </c>
      <c r="AM10" s="69">
        <f t="shared" si="30"/>
        <v>2210847.2775792</v>
      </c>
      <c r="AN10" s="69">
        <f t="shared" si="31"/>
        <v>834252.97514000011</v>
      </c>
      <c r="AO10" s="69">
        <f t="shared" si="32"/>
        <v>394529.66197840002</v>
      </c>
      <c r="AP10" s="69">
        <f t="shared" si="33"/>
        <v>982064.64046079991</v>
      </c>
      <c r="AQ10" s="69">
        <f t="shared" si="34"/>
        <v>1299758.8563856001</v>
      </c>
      <c r="AR10" s="69">
        <f t="shared" si="35"/>
        <v>2340404.089309867</v>
      </c>
      <c r="AS10" s="69">
        <f t="shared" si="36"/>
        <v>1473898.1850528002</v>
      </c>
      <c r="AT10" s="69">
        <f t="shared" si="37"/>
        <v>556168.65009333345</v>
      </c>
      <c r="AU10" s="69">
        <f t="shared" si="38"/>
        <v>263019.7746522667</v>
      </c>
      <c r="AV10" s="69">
        <f t="shared" si="39"/>
        <v>654709.76030720002</v>
      </c>
      <c r="AW10" s="69">
        <f t="shared" si="40"/>
        <v>866505.90425706666</v>
      </c>
      <c r="AX10" s="69">
        <f>'5.1.1 Nakłady B+R'!B12*1000</f>
        <v>359324.16000000009</v>
      </c>
      <c r="AY10" s="69">
        <f t="shared" si="41"/>
        <v>122349.87648000002</v>
      </c>
      <c r="AZ10" s="69">
        <f t="shared" si="42"/>
        <v>10132.941312000003</v>
      </c>
      <c r="BA10" s="69">
        <f t="shared" si="43"/>
        <v>34818.511104000012</v>
      </c>
      <c r="BB10" s="69">
        <f t="shared" si="44"/>
        <v>77398.424064000006</v>
      </c>
      <c r="BC10" s="69">
        <f t="shared" si="45"/>
        <v>236974.28352000006</v>
      </c>
      <c r="BD10" s="69">
        <f>'5.1.1 Nakłady B+R'!C12*1000</f>
        <v>371541.18144000007</v>
      </c>
      <c r="BE10" s="69">
        <f t="shared" si="46"/>
        <v>126509.77228032002</v>
      </c>
      <c r="BF10" s="69">
        <f t="shared" si="47"/>
        <v>10477.461316608002</v>
      </c>
      <c r="BG10" s="69">
        <f t="shared" si="48"/>
        <v>36002.340481536005</v>
      </c>
      <c r="BH10" s="69">
        <f t="shared" si="49"/>
        <v>80029.97048217601</v>
      </c>
      <c r="BI10" s="69">
        <f t="shared" si="56"/>
        <v>245031.40915968004</v>
      </c>
      <c r="BJ10" s="69">
        <f t="shared" si="50"/>
        <v>6222551.4047146663</v>
      </c>
      <c r="BK10" s="69">
        <f t="shared" si="51"/>
        <v>3811255.23491232</v>
      </c>
      <c r="BL10" s="69">
        <f t="shared" si="52"/>
        <v>1400899.0865499415</v>
      </c>
      <c r="BM10" s="69">
        <f t="shared" si="53"/>
        <v>693551.77711220272</v>
      </c>
      <c r="BN10" s="69">
        <f t="shared" si="54"/>
        <v>1716804.3712501759</v>
      </c>
      <c r="BO10" s="133">
        <f t="shared" si="55"/>
        <v>2411296.1698023467</v>
      </c>
    </row>
    <row r="11" spans="1:67" x14ac:dyDescent="0.25">
      <c r="A11" s="131" t="s">
        <v>10</v>
      </c>
      <c r="B11" s="69">
        <v>6860485</v>
      </c>
      <c r="C11" s="69">
        <f t="shared" si="0"/>
        <v>3866657</v>
      </c>
      <c r="D11" s="69">
        <v>1196629</v>
      </c>
      <c r="E11" s="69">
        <v>953815</v>
      </c>
      <c r="F11" s="69">
        <v>1716213</v>
      </c>
      <c r="G11" s="69">
        <v>2993828</v>
      </c>
      <c r="H11" s="69">
        <f t="shared" si="1"/>
        <v>4573656.666666666</v>
      </c>
      <c r="I11" s="69">
        <f t="shared" si="2"/>
        <v>2577771.333333333</v>
      </c>
      <c r="J11" s="69">
        <f t="shared" si="3"/>
        <v>797752.66666666663</v>
      </c>
      <c r="K11" s="69">
        <f t="shared" si="4"/>
        <v>635876.66666666663</v>
      </c>
      <c r="L11" s="69">
        <f t="shared" si="5"/>
        <v>1144142</v>
      </c>
      <c r="M11" s="69">
        <f t="shared" si="6"/>
        <v>1995885.3333333333</v>
      </c>
      <c r="N11" s="69">
        <v>761492.9</v>
      </c>
      <c r="O11" s="69">
        <f t="shared" si="7"/>
        <v>252815.6428</v>
      </c>
      <c r="P11" s="69">
        <f t="shared" si="8"/>
        <v>19798.815400000003</v>
      </c>
      <c r="Q11" s="69">
        <f t="shared" si="9"/>
        <v>75387.797100000011</v>
      </c>
      <c r="R11" s="69">
        <f t="shared" si="10"/>
        <v>157629.03029999998</v>
      </c>
      <c r="S11" s="69">
        <f t="shared" si="11"/>
        <v>508677.25719999993</v>
      </c>
      <c r="T11" s="69">
        <f t="shared" si="12"/>
        <v>12195634.566666666</v>
      </c>
      <c r="U11" s="69">
        <f t="shared" si="13"/>
        <v>6697243.9761333326</v>
      </c>
      <c r="V11" s="69">
        <f t="shared" si="14"/>
        <v>2014180.4820666665</v>
      </c>
      <c r="W11" s="69">
        <f t="shared" si="15"/>
        <v>1665079.4637666666</v>
      </c>
      <c r="X11" s="69">
        <f t="shared" si="16"/>
        <v>3017984.0302999998</v>
      </c>
      <c r="Y11" s="69">
        <f t="shared" si="17"/>
        <v>5498390.5905333329</v>
      </c>
      <c r="Z11" s="132">
        <v>1</v>
      </c>
      <c r="AA11" s="132">
        <f t="shared" si="18"/>
        <v>0.54915092277677491</v>
      </c>
      <c r="AB11" s="132">
        <f t="shared" si="19"/>
        <v>0.16515585729108856</v>
      </c>
      <c r="AC11" s="132">
        <f t="shared" si="20"/>
        <v>0.13653077703047059</v>
      </c>
      <c r="AD11" s="132">
        <f t="shared" si="21"/>
        <v>0.24746428845521573</v>
      </c>
      <c r="AE11" s="132">
        <f t="shared" si="22"/>
        <v>0.45084907722322509</v>
      </c>
      <c r="AF11" s="69">
        <f t="shared" si="23"/>
        <v>7313277.0099999988</v>
      </c>
      <c r="AG11" s="69">
        <f t="shared" si="24"/>
        <v>4121856.3619999993</v>
      </c>
      <c r="AH11" s="69">
        <f t="shared" si="25"/>
        <v>1275606.5139999997</v>
      </c>
      <c r="AI11" s="69">
        <f t="shared" si="26"/>
        <v>1016766.7899999998</v>
      </c>
      <c r="AJ11" s="69">
        <f t="shared" si="27"/>
        <v>1829483.0579999997</v>
      </c>
      <c r="AK11" s="69">
        <f t="shared" si="28"/>
        <v>3191420.6479999996</v>
      </c>
      <c r="AL11" s="69">
        <f t="shared" si="29"/>
        <v>7509272.8338679997</v>
      </c>
      <c r="AM11" s="69">
        <f t="shared" si="30"/>
        <v>4232322.1125015998</v>
      </c>
      <c r="AN11" s="69">
        <f t="shared" si="31"/>
        <v>1309792.7685751999</v>
      </c>
      <c r="AO11" s="69">
        <f t="shared" si="32"/>
        <v>1044016.1399719999</v>
      </c>
      <c r="AP11" s="69">
        <f t="shared" si="33"/>
        <v>1878513.2039544</v>
      </c>
      <c r="AQ11" s="69">
        <f t="shared" si="34"/>
        <v>3276950.7213663999</v>
      </c>
      <c r="AR11" s="69">
        <f t="shared" si="35"/>
        <v>5006181.8892453332</v>
      </c>
      <c r="AS11" s="69">
        <f t="shared" si="36"/>
        <v>2821548.0750010666</v>
      </c>
      <c r="AT11" s="69">
        <f t="shared" si="37"/>
        <v>873195.17905013321</v>
      </c>
      <c r="AU11" s="69">
        <f t="shared" si="38"/>
        <v>696010.75998133316</v>
      </c>
      <c r="AV11" s="69">
        <f t="shared" si="39"/>
        <v>1252342.1359696002</v>
      </c>
      <c r="AW11" s="69">
        <f t="shared" si="40"/>
        <v>2184633.8142442666</v>
      </c>
      <c r="AX11" s="69">
        <f>'5.1.1 Nakłady B+R'!B13*1000</f>
        <v>688471.68</v>
      </c>
      <c r="AY11" s="69">
        <f t="shared" si="41"/>
        <v>234424.60704</v>
      </c>
      <c r="AZ11" s="69">
        <f t="shared" si="42"/>
        <v>19414.901376000002</v>
      </c>
      <c r="BA11" s="69">
        <f t="shared" si="43"/>
        <v>66712.905792000005</v>
      </c>
      <c r="BB11" s="69">
        <f t="shared" si="44"/>
        <v>148296.799872</v>
      </c>
      <c r="BC11" s="69">
        <f t="shared" si="45"/>
        <v>454047.07296000002</v>
      </c>
      <c r="BD11" s="69">
        <f>'5.1.1 Nakłady B+R'!C13*1000</f>
        <v>711879.71712000004</v>
      </c>
      <c r="BE11" s="69">
        <f t="shared" si="46"/>
        <v>242395.04367935998</v>
      </c>
      <c r="BF11" s="69">
        <f t="shared" si="47"/>
        <v>20075.008022784001</v>
      </c>
      <c r="BG11" s="69">
        <f t="shared" si="48"/>
        <v>68981.144588928</v>
      </c>
      <c r="BH11" s="69">
        <f t="shared" si="49"/>
        <v>153338.89106764799</v>
      </c>
      <c r="BI11" s="69">
        <f t="shared" si="56"/>
        <v>469484.67344064004</v>
      </c>
      <c r="BJ11" s="69">
        <f t="shared" si="50"/>
        <v>13227334.440233333</v>
      </c>
      <c r="BK11" s="69">
        <f t="shared" si="51"/>
        <v>7296265.2311820267</v>
      </c>
      <c r="BL11" s="69">
        <f t="shared" si="52"/>
        <v>2203062.9556481172</v>
      </c>
      <c r="BM11" s="69">
        <f t="shared" si="53"/>
        <v>1809008.0445422609</v>
      </c>
      <c r="BN11" s="69">
        <f t="shared" si="54"/>
        <v>3284194.2309916485</v>
      </c>
      <c r="BO11" s="133">
        <f t="shared" si="55"/>
        <v>5931069.2090513064</v>
      </c>
    </row>
    <row r="12" spans="1:67" x14ac:dyDescent="0.25">
      <c r="A12" s="131" t="s">
        <v>11</v>
      </c>
      <c r="B12" s="69">
        <v>3277808</v>
      </c>
      <c r="C12" s="69">
        <f t="shared" si="0"/>
        <v>1898236</v>
      </c>
      <c r="D12" s="69">
        <v>561964</v>
      </c>
      <c r="E12" s="69">
        <v>505408</v>
      </c>
      <c r="F12" s="69">
        <v>830864</v>
      </c>
      <c r="G12" s="69">
        <v>1379572</v>
      </c>
      <c r="H12" s="69">
        <f t="shared" si="1"/>
        <v>2185205.3333333335</v>
      </c>
      <c r="I12" s="69">
        <f t="shared" si="2"/>
        <v>1265490.6666666667</v>
      </c>
      <c r="J12" s="69">
        <f t="shared" si="3"/>
        <v>374642.66666666669</v>
      </c>
      <c r="K12" s="69">
        <f t="shared" si="4"/>
        <v>336938.66666666669</v>
      </c>
      <c r="L12" s="69">
        <f t="shared" si="5"/>
        <v>553909.33333333337</v>
      </c>
      <c r="M12" s="69">
        <f t="shared" si="6"/>
        <v>919714.66666666663</v>
      </c>
      <c r="N12" s="69">
        <v>132284.4</v>
      </c>
      <c r="O12" s="69">
        <f t="shared" si="7"/>
        <v>43918.420799999993</v>
      </c>
      <c r="P12" s="69">
        <f t="shared" si="8"/>
        <v>3439.3944000000001</v>
      </c>
      <c r="Q12" s="69">
        <f t="shared" si="9"/>
        <v>13096.1556</v>
      </c>
      <c r="R12" s="69">
        <f t="shared" si="10"/>
        <v>27382.870799999997</v>
      </c>
      <c r="S12" s="69">
        <f t="shared" si="11"/>
        <v>88365.979199999987</v>
      </c>
      <c r="T12" s="69">
        <f t="shared" si="12"/>
        <v>5595297.7333333334</v>
      </c>
      <c r="U12" s="69">
        <f t="shared" si="13"/>
        <v>3207645.0874666669</v>
      </c>
      <c r="V12" s="69">
        <f t="shared" si="14"/>
        <v>940046.06106666673</v>
      </c>
      <c r="W12" s="69">
        <f t="shared" si="15"/>
        <v>855442.8222666668</v>
      </c>
      <c r="X12" s="69">
        <f t="shared" si="16"/>
        <v>1412156.2041333334</v>
      </c>
      <c r="Y12" s="69">
        <f t="shared" si="17"/>
        <v>2387652.6458666665</v>
      </c>
      <c r="Z12" s="132">
        <v>1</v>
      </c>
      <c r="AA12" s="132">
        <f t="shared" si="18"/>
        <v>0.5732751392937494</v>
      </c>
      <c r="AB12" s="132">
        <f t="shared" si="19"/>
        <v>0.16800644145644869</v>
      </c>
      <c r="AC12" s="132">
        <f t="shared" si="20"/>
        <v>0.15288602377143687</v>
      </c>
      <c r="AD12" s="132">
        <f t="shared" si="21"/>
        <v>0.25238267406586384</v>
      </c>
      <c r="AE12" s="132">
        <f t="shared" si="22"/>
        <v>0.4267248607062506</v>
      </c>
      <c r="AF12" s="69">
        <f t="shared" si="23"/>
        <v>3494143.3279999997</v>
      </c>
      <c r="AG12" s="69">
        <f t="shared" si="24"/>
        <v>2023519.5759999999</v>
      </c>
      <c r="AH12" s="69">
        <f t="shared" si="25"/>
        <v>599053.62399999995</v>
      </c>
      <c r="AI12" s="69">
        <f t="shared" si="26"/>
        <v>538764.92799999996</v>
      </c>
      <c r="AJ12" s="69">
        <f t="shared" si="27"/>
        <v>885701.02399999986</v>
      </c>
      <c r="AK12" s="69">
        <f t="shared" si="28"/>
        <v>1470623.7519999999</v>
      </c>
      <c r="AL12" s="69">
        <f t="shared" si="29"/>
        <v>3587786.3691904005</v>
      </c>
      <c r="AM12" s="69">
        <f t="shared" si="30"/>
        <v>2077749.9006368001</v>
      </c>
      <c r="AN12" s="69">
        <f t="shared" si="31"/>
        <v>615108.26112320006</v>
      </c>
      <c r="AO12" s="69">
        <f t="shared" si="32"/>
        <v>553203.82807040005</v>
      </c>
      <c r="AP12" s="69">
        <f t="shared" si="33"/>
        <v>909437.81144319999</v>
      </c>
      <c r="AQ12" s="69">
        <f t="shared" si="34"/>
        <v>1510036.4685536001</v>
      </c>
      <c r="AR12" s="69">
        <f t="shared" si="35"/>
        <v>2391857.5794602665</v>
      </c>
      <c r="AS12" s="69">
        <f t="shared" si="36"/>
        <v>1385166.6004245332</v>
      </c>
      <c r="AT12" s="69">
        <f t="shared" si="37"/>
        <v>410072.17408213334</v>
      </c>
      <c r="AU12" s="69">
        <f t="shared" si="38"/>
        <v>368802.55204693339</v>
      </c>
      <c r="AV12" s="69">
        <f t="shared" si="39"/>
        <v>606291.8742954667</v>
      </c>
      <c r="AW12" s="69">
        <f t="shared" si="40"/>
        <v>1006690.9790357334</v>
      </c>
      <c r="AX12" s="69">
        <f>'5.1.1 Nakłady B+R'!B14*1000</f>
        <v>385332.48000000004</v>
      </c>
      <c r="AY12" s="69">
        <f t="shared" si="41"/>
        <v>131205.70944000001</v>
      </c>
      <c r="AZ12" s="69">
        <f t="shared" si="42"/>
        <v>10866.375936</v>
      </c>
      <c r="BA12" s="69">
        <f t="shared" si="43"/>
        <v>37338.717312000001</v>
      </c>
      <c r="BB12" s="69">
        <f t="shared" si="44"/>
        <v>83000.616192000001</v>
      </c>
      <c r="BC12" s="69">
        <f t="shared" si="45"/>
        <v>254126.77056</v>
      </c>
      <c r="BD12" s="69">
        <f>'5.1.1 Nakłady B+R'!C14*1000</f>
        <v>398433.78432000004</v>
      </c>
      <c r="BE12" s="69">
        <f t="shared" si="46"/>
        <v>135666.70356096001</v>
      </c>
      <c r="BF12" s="69">
        <f t="shared" si="47"/>
        <v>11235.832717824002</v>
      </c>
      <c r="BG12" s="69">
        <f t="shared" si="48"/>
        <v>38608.233700608005</v>
      </c>
      <c r="BH12" s="69">
        <f t="shared" si="49"/>
        <v>85822.637142527994</v>
      </c>
      <c r="BI12" s="69">
        <f t="shared" si="56"/>
        <v>262767.08075904002</v>
      </c>
      <c r="BJ12" s="69">
        <f t="shared" si="50"/>
        <v>6378077.7329706671</v>
      </c>
      <c r="BK12" s="69">
        <f t="shared" si="51"/>
        <v>3598583.2046222938</v>
      </c>
      <c r="BL12" s="69">
        <f t="shared" si="52"/>
        <v>1036416.2679231574</v>
      </c>
      <c r="BM12" s="69">
        <f t="shared" si="53"/>
        <v>960614.6138179414</v>
      </c>
      <c r="BN12" s="69">
        <f t="shared" si="54"/>
        <v>1601552.3228811948</v>
      </c>
      <c r="BO12" s="133">
        <f t="shared" si="55"/>
        <v>2779494.5283483732</v>
      </c>
    </row>
    <row r="13" spans="1:67" x14ac:dyDescent="0.25">
      <c r="A13" s="131" t="s">
        <v>12</v>
      </c>
      <c r="B13" s="69">
        <v>10821872</v>
      </c>
      <c r="C13" s="69">
        <f t="shared" si="0"/>
        <v>6130076</v>
      </c>
      <c r="D13" s="69">
        <v>2234904</v>
      </c>
      <c r="E13" s="69">
        <v>1013300</v>
      </c>
      <c r="F13" s="69">
        <v>2881872</v>
      </c>
      <c r="G13" s="69">
        <v>4691796</v>
      </c>
      <c r="H13" s="69">
        <f t="shared" si="1"/>
        <v>7214581.333333334</v>
      </c>
      <c r="I13" s="69">
        <f t="shared" si="2"/>
        <v>4086717.3333333335</v>
      </c>
      <c r="J13" s="69">
        <f t="shared" si="3"/>
        <v>1489936</v>
      </c>
      <c r="K13" s="69">
        <f t="shared" si="4"/>
        <v>675533.33333333337</v>
      </c>
      <c r="L13" s="69">
        <f t="shared" si="5"/>
        <v>1921248</v>
      </c>
      <c r="M13" s="69">
        <f t="shared" si="6"/>
        <v>3127864</v>
      </c>
      <c r="N13" s="69">
        <v>1335165.1000000001</v>
      </c>
      <c r="O13" s="69">
        <f t="shared" si="7"/>
        <v>443274.81320000009</v>
      </c>
      <c r="P13" s="69">
        <f t="shared" si="8"/>
        <v>34714.292600000008</v>
      </c>
      <c r="Q13" s="69">
        <f t="shared" si="9"/>
        <v>132181.34490000003</v>
      </c>
      <c r="R13" s="69">
        <f t="shared" si="10"/>
        <v>276379.17570000002</v>
      </c>
      <c r="S13" s="69">
        <f t="shared" si="11"/>
        <v>891890.2868</v>
      </c>
      <c r="T13" s="69">
        <f t="shared" si="12"/>
        <v>19371618.433333334</v>
      </c>
      <c r="U13" s="69">
        <f t="shared" si="13"/>
        <v>10660068.146533333</v>
      </c>
      <c r="V13" s="69">
        <f t="shared" si="14"/>
        <v>3759554.2925999998</v>
      </c>
      <c r="W13" s="69">
        <f t="shared" si="15"/>
        <v>1821014.6782333334</v>
      </c>
      <c r="X13" s="69">
        <f t="shared" si="16"/>
        <v>5079499.1756999996</v>
      </c>
      <c r="Y13" s="69">
        <f t="shared" si="17"/>
        <v>8711550.2868000008</v>
      </c>
      <c r="Z13" s="132">
        <v>1</v>
      </c>
      <c r="AA13" s="132">
        <f t="shared" si="18"/>
        <v>0.55029310964489309</v>
      </c>
      <c r="AB13" s="132">
        <f t="shared" si="19"/>
        <v>0.19407538433292804</v>
      </c>
      <c r="AC13" s="132">
        <f t="shared" si="20"/>
        <v>9.4004261156613436E-2</v>
      </c>
      <c r="AD13" s="132">
        <f t="shared" si="21"/>
        <v>0.26221346415535168</v>
      </c>
      <c r="AE13" s="132">
        <f t="shared" si="22"/>
        <v>0.44970689035510686</v>
      </c>
      <c r="AF13" s="69">
        <f t="shared" si="23"/>
        <v>11536115.551999997</v>
      </c>
      <c r="AG13" s="69">
        <f t="shared" si="24"/>
        <v>6534661.0159999989</v>
      </c>
      <c r="AH13" s="69">
        <f t="shared" si="25"/>
        <v>2382407.6639999994</v>
      </c>
      <c r="AI13" s="69">
        <f t="shared" si="26"/>
        <v>1080177.7999999998</v>
      </c>
      <c r="AJ13" s="69">
        <f t="shared" si="27"/>
        <v>3072075.5519999997</v>
      </c>
      <c r="AK13" s="69">
        <f t="shared" si="28"/>
        <v>5001454.5359999994</v>
      </c>
      <c r="AL13" s="69">
        <f t="shared" si="29"/>
        <v>11845283.448793601</v>
      </c>
      <c r="AM13" s="69">
        <f t="shared" si="30"/>
        <v>6709789.9312287997</v>
      </c>
      <c r="AN13" s="69">
        <f t="shared" si="31"/>
        <v>2446256.1893952</v>
      </c>
      <c r="AO13" s="69">
        <f t="shared" si="32"/>
        <v>1109126.56504</v>
      </c>
      <c r="AP13" s="69">
        <f t="shared" si="33"/>
        <v>3154407.1767936</v>
      </c>
      <c r="AQ13" s="69">
        <f t="shared" si="34"/>
        <v>5135493.5175648006</v>
      </c>
      <c r="AR13" s="69">
        <f t="shared" si="35"/>
        <v>7896855.6325290669</v>
      </c>
      <c r="AS13" s="69">
        <f t="shared" si="36"/>
        <v>4473193.2874858668</v>
      </c>
      <c r="AT13" s="69">
        <f t="shared" si="37"/>
        <v>1630837.4595968002</v>
      </c>
      <c r="AU13" s="69">
        <f t="shared" si="38"/>
        <v>739417.71002666664</v>
      </c>
      <c r="AV13" s="69">
        <f t="shared" si="39"/>
        <v>2102938.1178624001</v>
      </c>
      <c r="AW13" s="69">
        <f t="shared" si="40"/>
        <v>3423662.3450432001</v>
      </c>
      <c r="AX13" s="69">
        <f>'5.1.1 Nakłady B+R'!B15*1000</f>
        <v>1036280.9600000001</v>
      </c>
      <c r="AY13" s="69">
        <f t="shared" si="41"/>
        <v>352853.66688000003</v>
      </c>
      <c r="AZ13" s="69">
        <f t="shared" si="42"/>
        <v>29223.123072000002</v>
      </c>
      <c r="BA13" s="69">
        <f t="shared" si="43"/>
        <v>100415.62502400001</v>
      </c>
      <c r="BB13" s="69">
        <f t="shared" si="44"/>
        <v>223214.91878400001</v>
      </c>
      <c r="BC13" s="69">
        <f t="shared" si="45"/>
        <v>683427.29312000005</v>
      </c>
      <c r="BD13" s="69">
        <f>'5.1.1 Nakłady B+R'!C15*1000</f>
        <v>1071514.5126400001</v>
      </c>
      <c r="BE13" s="69">
        <f t="shared" si="46"/>
        <v>364850.69155392004</v>
      </c>
      <c r="BF13" s="69">
        <f t="shared" si="47"/>
        <v>30216.709256448001</v>
      </c>
      <c r="BG13" s="69">
        <f t="shared" si="48"/>
        <v>103829.75627481601</v>
      </c>
      <c r="BH13" s="69">
        <f t="shared" si="49"/>
        <v>230804.22602265599</v>
      </c>
      <c r="BI13" s="69">
        <f t="shared" si="56"/>
        <v>706663.82108608005</v>
      </c>
      <c r="BJ13" s="69">
        <f t="shared" si="50"/>
        <v>20813653.593962666</v>
      </c>
      <c r="BK13" s="69">
        <f t="shared" si="51"/>
        <v>11547833.910268586</v>
      </c>
      <c r="BL13" s="69">
        <f t="shared" si="52"/>
        <v>4107310.358248448</v>
      </c>
      <c r="BM13" s="69">
        <f t="shared" si="53"/>
        <v>1952374.0313414827</v>
      </c>
      <c r="BN13" s="69">
        <f t="shared" si="54"/>
        <v>5488149.5206786562</v>
      </c>
      <c r="BO13" s="133">
        <f t="shared" si="55"/>
        <v>9265819.6836940795</v>
      </c>
    </row>
    <row r="14" spans="1:67" x14ac:dyDescent="0.25">
      <c r="A14" s="131" t="s">
        <v>13</v>
      </c>
      <c r="B14" s="69">
        <v>24844596</v>
      </c>
      <c r="C14" s="69">
        <f t="shared" si="0"/>
        <v>11174382</v>
      </c>
      <c r="D14" s="69">
        <v>3037972</v>
      </c>
      <c r="E14" s="69">
        <v>2051955</v>
      </c>
      <c r="F14" s="69">
        <v>6084455</v>
      </c>
      <c r="G14" s="69">
        <v>13670214</v>
      </c>
      <c r="H14" s="69">
        <f t="shared" si="1"/>
        <v>16563064</v>
      </c>
      <c r="I14" s="69">
        <f t="shared" si="2"/>
        <v>7449588</v>
      </c>
      <c r="J14" s="69">
        <f t="shared" si="3"/>
        <v>2025314.6666666667</v>
      </c>
      <c r="K14" s="69">
        <f t="shared" si="4"/>
        <v>1367970</v>
      </c>
      <c r="L14" s="69">
        <f t="shared" si="5"/>
        <v>4056303.3333333335</v>
      </c>
      <c r="M14" s="69">
        <f t="shared" si="6"/>
        <v>9113476</v>
      </c>
      <c r="N14" s="69">
        <v>1302961.3999999999</v>
      </c>
      <c r="O14" s="69">
        <f t="shared" si="7"/>
        <v>432583.18479999993</v>
      </c>
      <c r="P14" s="69">
        <f t="shared" si="8"/>
        <v>33876.996400000004</v>
      </c>
      <c r="Q14" s="69">
        <f t="shared" si="9"/>
        <v>128993.1786</v>
      </c>
      <c r="R14" s="69">
        <f t="shared" si="10"/>
        <v>269713.00979999994</v>
      </c>
      <c r="S14" s="69">
        <f t="shared" si="11"/>
        <v>870378.21519999986</v>
      </c>
      <c r="T14" s="69">
        <f t="shared" si="12"/>
        <v>42710621.399999999</v>
      </c>
      <c r="U14" s="69">
        <f t="shared" si="13"/>
        <v>19056553.184799999</v>
      </c>
      <c r="V14" s="69">
        <f t="shared" si="14"/>
        <v>5097163.6630666666</v>
      </c>
      <c r="W14" s="69">
        <f t="shared" si="15"/>
        <v>3548918.1786000002</v>
      </c>
      <c r="X14" s="69">
        <f t="shared" si="16"/>
        <v>10410471.343133334</v>
      </c>
      <c r="Y14" s="69">
        <f t="shared" si="17"/>
        <v>23654068.2152</v>
      </c>
      <c r="Z14" s="132">
        <v>1</v>
      </c>
      <c r="AA14" s="132">
        <f t="shared" si="18"/>
        <v>0.44617831724639812</v>
      </c>
      <c r="AB14" s="132">
        <f t="shared" si="19"/>
        <v>0.11934182870649282</v>
      </c>
      <c r="AC14" s="132">
        <f t="shared" si="20"/>
        <v>8.3092169167082175E-2</v>
      </c>
      <c r="AD14" s="132">
        <f t="shared" si="21"/>
        <v>0.24374431937282315</v>
      </c>
      <c r="AE14" s="132">
        <f t="shared" si="22"/>
        <v>0.55382168275360188</v>
      </c>
      <c r="AF14" s="69">
        <f t="shared" si="23"/>
        <v>26484339.335999995</v>
      </c>
      <c r="AG14" s="69">
        <f t="shared" si="24"/>
        <v>11911891.211999997</v>
      </c>
      <c r="AH14" s="69">
        <f t="shared" si="25"/>
        <v>3238478.1519999993</v>
      </c>
      <c r="AI14" s="69">
        <f t="shared" si="26"/>
        <v>2187384.0299999998</v>
      </c>
      <c r="AJ14" s="69">
        <f t="shared" si="27"/>
        <v>6486029.0299999993</v>
      </c>
      <c r="AK14" s="69">
        <f t="shared" si="28"/>
        <v>14572448.123999998</v>
      </c>
      <c r="AL14" s="69">
        <f t="shared" si="29"/>
        <v>27194119.630204801</v>
      </c>
      <c r="AM14" s="69">
        <f t="shared" si="30"/>
        <v>12231129.8964816</v>
      </c>
      <c r="AN14" s="69">
        <f t="shared" si="31"/>
        <v>3325269.3664735998</v>
      </c>
      <c r="AO14" s="69">
        <f t="shared" si="32"/>
        <v>2246005.9220040003</v>
      </c>
      <c r="AP14" s="69">
        <f t="shared" si="33"/>
        <v>6659854.608004</v>
      </c>
      <c r="AQ14" s="69">
        <f t="shared" si="34"/>
        <v>14962989.733723201</v>
      </c>
      <c r="AR14" s="69">
        <f t="shared" si="35"/>
        <v>18129413.086803198</v>
      </c>
      <c r="AS14" s="69">
        <f t="shared" si="36"/>
        <v>8154086.5976544004</v>
      </c>
      <c r="AT14" s="69">
        <f t="shared" si="37"/>
        <v>2216846.2443157332</v>
      </c>
      <c r="AU14" s="69">
        <f t="shared" si="38"/>
        <v>1497337.281336</v>
      </c>
      <c r="AV14" s="69">
        <f t="shared" si="39"/>
        <v>4439903.072002667</v>
      </c>
      <c r="AW14" s="69">
        <f t="shared" si="40"/>
        <v>9975326.4891487993</v>
      </c>
      <c r="AX14" s="69">
        <f>'5.1.1 Nakłady B+R'!B16*1000</f>
        <v>2162750.7200000007</v>
      </c>
      <c r="AY14" s="69">
        <f t="shared" si="41"/>
        <v>736416.62016000017</v>
      </c>
      <c r="AZ14" s="69">
        <f t="shared" si="42"/>
        <v>60989.570304000015</v>
      </c>
      <c r="BA14" s="69">
        <f t="shared" si="43"/>
        <v>209570.54476800005</v>
      </c>
      <c r="BB14" s="69">
        <f t="shared" si="44"/>
        <v>465856.50508800009</v>
      </c>
      <c r="BC14" s="69">
        <f t="shared" si="45"/>
        <v>1426334.0998400005</v>
      </c>
      <c r="BD14" s="69">
        <f>'5.1.1 Nakłady B+R'!C16*1000</f>
        <v>2236284.2444800003</v>
      </c>
      <c r="BE14" s="69">
        <f t="shared" si="46"/>
        <v>761454.78524544009</v>
      </c>
      <c r="BF14" s="69">
        <f t="shared" si="47"/>
        <v>63063.21569433601</v>
      </c>
      <c r="BG14" s="69">
        <f t="shared" si="48"/>
        <v>216695.94329011205</v>
      </c>
      <c r="BH14" s="69">
        <f t="shared" si="49"/>
        <v>481695.62626099202</v>
      </c>
      <c r="BI14" s="69">
        <f t="shared" si="56"/>
        <v>1474829.4592345601</v>
      </c>
      <c r="BJ14" s="69">
        <f t="shared" si="50"/>
        <v>47559816.961488001</v>
      </c>
      <c r="BK14" s="69">
        <f t="shared" si="51"/>
        <v>21146671.279381439</v>
      </c>
      <c r="BL14" s="69">
        <f t="shared" si="52"/>
        <v>5605178.8264836688</v>
      </c>
      <c r="BM14" s="69">
        <f t="shared" si="53"/>
        <v>3960039.1466301121</v>
      </c>
      <c r="BN14" s="69">
        <f t="shared" si="54"/>
        <v>11581453.30626766</v>
      </c>
      <c r="BO14" s="133">
        <f t="shared" si="55"/>
        <v>26413145.682106562</v>
      </c>
    </row>
    <row r="15" spans="1:67" x14ac:dyDescent="0.25">
      <c r="A15" s="131" t="s">
        <v>14</v>
      </c>
      <c r="B15" s="69">
        <v>3021580</v>
      </c>
      <c r="C15" s="69">
        <f t="shared" si="0"/>
        <v>1792124</v>
      </c>
      <c r="D15" s="69">
        <v>726260</v>
      </c>
      <c r="E15" s="69">
        <v>421191</v>
      </c>
      <c r="F15" s="69">
        <v>644673</v>
      </c>
      <c r="G15" s="69">
        <v>1229456</v>
      </c>
      <c r="H15" s="69">
        <f t="shared" si="1"/>
        <v>2014386.6666666665</v>
      </c>
      <c r="I15" s="69">
        <f t="shared" si="2"/>
        <v>1194749.3333333333</v>
      </c>
      <c r="J15" s="69">
        <f t="shared" si="3"/>
        <v>484173.33333333331</v>
      </c>
      <c r="K15" s="69">
        <f t="shared" si="4"/>
        <v>280794</v>
      </c>
      <c r="L15" s="69">
        <f t="shared" si="5"/>
        <v>429782</v>
      </c>
      <c r="M15" s="69">
        <f t="shared" si="6"/>
        <v>819637.33333333337</v>
      </c>
      <c r="N15" s="69">
        <v>197483.5</v>
      </c>
      <c r="O15" s="69">
        <f t="shared" si="7"/>
        <v>65564.521999999997</v>
      </c>
      <c r="P15" s="69">
        <f t="shared" si="8"/>
        <v>5134.5710000000008</v>
      </c>
      <c r="Q15" s="69">
        <f t="shared" si="9"/>
        <v>19550.8665</v>
      </c>
      <c r="R15" s="69">
        <f t="shared" si="10"/>
        <v>40879.084499999997</v>
      </c>
      <c r="S15" s="69">
        <f t="shared" si="11"/>
        <v>131918.97799999997</v>
      </c>
      <c r="T15" s="69">
        <f t="shared" si="12"/>
        <v>5233450.166666666</v>
      </c>
      <c r="U15" s="69">
        <f t="shared" si="13"/>
        <v>3052437.8553333329</v>
      </c>
      <c r="V15" s="69">
        <f t="shared" si="14"/>
        <v>1215567.9043333333</v>
      </c>
      <c r="W15" s="69">
        <f t="shared" si="15"/>
        <v>721535.8665</v>
      </c>
      <c r="X15" s="69">
        <f t="shared" si="16"/>
        <v>1115334.0844999999</v>
      </c>
      <c r="Y15" s="69">
        <f t="shared" si="17"/>
        <v>2181012.3113333336</v>
      </c>
      <c r="Z15" s="132">
        <v>1</v>
      </c>
      <c r="AA15" s="132">
        <f t="shared" si="18"/>
        <v>0.58325535891698721</v>
      </c>
      <c r="AB15" s="132">
        <f t="shared" si="19"/>
        <v>0.23226893648011235</v>
      </c>
      <c r="AC15" s="132">
        <f t="shared" si="20"/>
        <v>0.13787001758336542</v>
      </c>
      <c r="AD15" s="132">
        <f t="shared" si="21"/>
        <v>0.21311640485350949</v>
      </c>
      <c r="AE15" s="132">
        <f t="shared" si="22"/>
        <v>0.41674464108301285</v>
      </c>
      <c r="AF15" s="69">
        <f t="shared" si="23"/>
        <v>3221004.28</v>
      </c>
      <c r="AG15" s="69">
        <f t="shared" si="24"/>
        <v>1910404.1839999999</v>
      </c>
      <c r="AH15" s="69">
        <f t="shared" si="25"/>
        <v>774193.15999999992</v>
      </c>
      <c r="AI15" s="69">
        <f t="shared" si="26"/>
        <v>448989.60599999991</v>
      </c>
      <c r="AJ15" s="69">
        <f t="shared" si="27"/>
        <v>687221.41799999995</v>
      </c>
      <c r="AK15" s="69">
        <f t="shared" si="28"/>
        <v>1310600.0959999999</v>
      </c>
      <c r="AL15" s="69">
        <f t="shared" si="29"/>
        <v>3307327.1947039999</v>
      </c>
      <c r="AM15" s="69">
        <f t="shared" si="30"/>
        <v>1961603.0161312001</v>
      </c>
      <c r="AN15" s="69">
        <f t="shared" si="31"/>
        <v>794941.53668800008</v>
      </c>
      <c r="AO15" s="69">
        <f t="shared" si="32"/>
        <v>461022.52744079998</v>
      </c>
      <c r="AP15" s="69">
        <f t="shared" si="33"/>
        <v>705638.95200240007</v>
      </c>
      <c r="AQ15" s="69">
        <f t="shared" si="34"/>
        <v>1345724.1785728</v>
      </c>
      <c r="AR15" s="69">
        <f t="shared" si="35"/>
        <v>2204884.7964693336</v>
      </c>
      <c r="AS15" s="69">
        <f t="shared" si="36"/>
        <v>1307735.3440874668</v>
      </c>
      <c r="AT15" s="69">
        <f t="shared" si="37"/>
        <v>529961.02445866668</v>
      </c>
      <c r="AU15" s="69">
        <f t="shared" si="38"/>
        <v>307348.35162719997</v>
      </c>
      <c r="AV15" s="69">
        <f t="shared" si="39"/>
        <v>470425.96800160006</v>
      </c>
      <c r="AW15" s="69">
        <f t="shared" si="40"/>
        <v>897149.45238186663</v>
      </c>
      <c r="AX15" s="69">
        <f>'5.1.1 Nakłady B+R'!B17*1000</f>
        <v>411457.28000000003</v>
      </c>
      <c r="AY15" s="69">
        <f t="shared" si="41"/>
        <v>140101.20384</v>
      </c>
      <c r="AZ15" s="69">
        <f t="shared" si="42"/>
        <v>11603.095296000001</v>
      </c>
      <c r="BA15" s="69">
        <f t="shared" si="43"/>
        <v>39870.210432</v>
      </c>
      <c r="BB15" s="69">
        <f t="shared" si="44"/>
        <v>88627.898111999995</v>
      </c>
      <c r="BC15" s="69">
        <f t="shared" si="45"/>
        <v>271356.07616</v>
      </c>
      <c r="BD15" s="69">
        <f>'5.1.1 Nakłady B+R'!C17*1000</f>
        <v>425446.82752000005</v>
      </c>
      <c r="BE15" s="69">
        <f t="shared" si="46"/>
        <v>144864.64477056003</v>
      </c>
      <c r="BF15" s="69">
        <f t="shared" si="47"/>
        <v>11997.600536064001</v>
      </c>
      <c r="BG15" s="69">
        <f t="shared" si="48"/>
        <v>41225.797586688008</v>
      </c>
      <c r="BH15" s="69">
        <f t="shared" si="49"/>
        <v>91641.246647808002</v>
      </c>
      <c r="BI15" s="69">
        <f t="shared" si="56"/>
        <v>280582.18274944002</v>
      </c>
      <c r="BJ15" s="69">
        <f t="shared" si="50"/>
        <v>5937658.8186933342</v>
      </c>
      <c r="BK15" s="69">
        <f t="shared" si="51"/>
        <v>3414203.0049892268</v>
      </c>
      <c r="BL15" s="69">
        <f t="shared" si="52"/>
        <v>1336900.1616827308</v>
      </c>
      <c r="BM15" s="69">
        <f t="shared" si="53"/>
        <v>809596.67665468797</v>
      </c>
      <c r="BN15" s="69">
        <f t="shared" si="54"/>
        <v>1267706.1666518082</v>
      </c>
      <c r="BO15" s="133">
        <f t="shared" si="55"/>
        <v>2523455.813704107</v>
      </c>
    </row>
    <row r="16" spans="1:67" x14ac:dyDescent="0.25">
      <c r="A16" s="131" t="s">
        <v>15</v>
      </c>
      <c r="B16" s="69">
        <v>4257710</v>
      </c>
      <c r="C16" s="69">
        <f t="shared" si="0"/>
        <v>2154309</v>
      </c>
      <c r="D16" s="69">
        <v>782748</v>
      </c>
      <c r="E16" s="69">
        <v>474910</v>
      </c>
      <c r="F16" s="69">
        <v>896651</v>
      </c>
      <c r="G16" s="69">
        <v>2103401</v>
      </c>
      <c r="H16" s="69">
        <f t="shared" si="1"/>
        <v>2838473.333333333</v>
      </c>
      <c r="I16" s="69">
        <f t="shared" si="2"/>
        <v>1436206</v>
      </c>
      <c r="J16" s="69">
        <f t="shared" si="3"/>
        <v>521832</v>
      </c>
      <c r="K16" s="69">
        <f t="shared" si="4"/>
        <v>316606.66666666669</v>
      </c>
      <c r="L16" s="69">
        <f t="shared" si="5"/>
        <v>597767.33333333337</v>
      </c>
      <c r="M16" s="69">
        <f t="shared" si="6"/>
        <v>1402267.3333333333</v>
      </c>
      <c r="N16" s="69">
        <v>129651.1</v>
      </c>
      <c r="O16" s="69">
        <f t="shared" si="7"/>
        <v>43044.165200000003</v>
      </c>
      <c r="P16" s="69">
        <f t="shared" si="8"/>
        <v>3370.9286000000006</v>
      </c>
      <c r="Q16" s="69">
        <f t="shared" si="9"/>
        <v>12835.458900000001</v>
      </c>
      <c r="R16" s="69">
        <f t="shared" si="10"/>
        <v>26837.777699999999</v>
      </c>
      <c r="S16" s="69">
        <f t="shared" si="11"/>
        <v>86606.934799999988</v>
      </c>
      <c r="T16" s="69">
        <f t="shared" si="12"/>
        <v>7225834.4333333336</v>
      </c>
      <c r="U16" s="69">
        <f t="shared" si="13"/>
        <v>3633559.1652000002</v>
      </c>
      <c r="V16" s="69">
        <f t="shared" si="14"/>
        <v>1307950.9286</v>
      </c>
      <c r="W16" s="69">
        <f t="shared" si="15"/>
        <v>804352.12556666671</v>
      </c>
      <c r="X16" s="69">
        <f t="shared" si="16"/>
        <v>1521256.1110333335</v>
      </c>
      <c r="Y16" s="69">
        <f t="shared" si="17"/>
        <v>3592275.268133333</v>
      </c>
      <c r="Z16" s="132">
        <v>1</v>
      </c>
      <c r="AA16" s="132">
        <f t="shared" si="18"/>
        <v>0.50285668717208776</v>
      </c>
      <c r="AB16" s="132">
        <f t="shared" si="19"/>
        <v>0.18101036505435567</v>
      </c>
      <c r="AC16" s="132">
        <f t="shared" si="20"/>
        <v>0.11131615773759333</v>
      </c>
      <c r="AD16" s="132">
        <f t="shared" si="21"/>
        <v>0.21053016438013875</v>
      </c>
      <c r="AE16" s="132">
        <f t="shared" si="22"/>
        <v>0.49714331282791219</v>
      </c>
      <c r="AF16" s="69">
        <f t="shared" si="23"/>
        <v>4538718.8599999994</v>
      </c>
      <c r="AG16" s="69">
        <f t="shared" si="24"/>
        <v>2296493.3939999999</v>
      </c>
      <c r="AH16" s="69">
        <f t="shared" si="25"/>
        <v>834409.3679999999</v>
      </c>
      <c r="AI16" s="69">
        <f t="shared" si="26"/>
        <v>506254.05999999994</v>
      </c>
      <c r="AJ16" s="69">
        <f t="shared" si="27"/>
        <v>955829.9659999999</v>
      </c>
      <c r="AK16" s="69">
        <f t="shared" si="28"/>
        <v>2242225.4659999995</v>
      </c>
      <c r="AL16" s="69">
        <f t="shared" si="29"/>
        <v>4660356.5254480001</v>
      </c>
      <c r="AM16" s="69">
        <f t="shared" si="30"/>
        <v>2358039.4169592001</v>
      </c>
      <c r="AN16" s="69">
        <f t="shared" si="31"/>
        <v>856771.5390624</v>
      </c>
      <c r="AO16" s="69">
        <f t="shared" si="32"/>
        <v>519821.66880800005</v>
      </c>
      <c r="AP16" s="69">
        <f t="shared" si="33"/>
        <v>981446.20908880001</v>
      </c>
      <c r="AQ16" s="69">
        <f t="shared" si="34"/>
        <v>2302317.1084888</v>
      </c>
      <c r="AR16" s="69">
        <f t="shared" si="35"/>
        <v>3106904.3502986669</v>
      </c>
      <c r="AS16" s="69">
        <f t="shared" si="36"/>
        <v>1572026.2779728002</v>
      </c>
      <c r="AT16" s="69">
        <f t="shared" si="37"/>
        <v>571181.02604160004</v>
      </c>
      <c r="AU16" s="69">
        <f t="shared" si="38"/>
        <v>346547.77920533338</v>
      </c>
      <c r="AV16" s="69">
        <f t="shared" si="39"/>
        <v>654297.47272586671</v>
      </c>
      <c r="AW16" s="69">
        <f t="shared" si="40"/>
        <v>1534878.0723258667</v>
      </c>
      <c r="AX16" s="69">
        <f>'5.1.1 Nakłady B+R'!B18*1000</f>
        <v>450644.48000000004</v>
      </c>
      <c r="AY16" s="69">
        <f t="shared" si="41"/>
        <v>153444.44543999998</v>
      </c>
      <c r="AZ16" s="69">
        <f t="shared" si="42"/>
        <v>12708.174336</v>
      </c>
      <c r="BA16" s="69">
        <f t="shared" si="43"/>
        <v>43667.450112000006</v>
      </c>
      <c r="BB16" s="69">
        <f t="shared" si="44"/>
        <v>97068.820991999994</v>
      </c>
      <c r="BC16" s="69">
        <f t="shared" si="45"/>
        <v>297200.03456</v>
      </c>
      <c r="BD16" s="69">
        <f>'5.1.1 Nakłady B+R'!C18*1000</f>
        <v>465966.39232000004</v>
      </c>
      <c r="BE16" s="69">
        <f t="shared" si="46"/>
        <v>158661.55658496</v>
      </c>
      <c r="BF16" s="69">
        <f t="shared" si="47"/>
        <v>13140.252263424001</v>
      </c>
      <c r="BG16" s="69">
        <f t="shared" si="48"/>
        <v>45152.143415808001</v>
      </c>
      <c r="BH16" s="69">
        <f t="shared" si="49"/>
        <v>100369.160905728</v>
      </c>
      <c r="BI16" s="69">
        <f t="shared" si="56"/>
        <v>307304.83573504002</v>
      </c>
      <c r="BJ16" s="69">
        <f t="shared" si="50"/>
        <v>8233227.268066667</v>
      </c>
      <c r="BK16" s="69">
        <f t="shared" si="51"/>
        <v>4088727.2515169606</v>
      </c>
      <c r="BL16" s="69">
        <f t="shared" si="52"/>
        <v>1441092.817367424</v>
      </c>
      <c r="BM16" s="69">
        <f t="shared" si="53"/>
        <v>911521.59142914135</v>
      </c>
      <c r="BN16" s="69">
        <f t="shared" si="54"/>
        <v>1736112.8427203947</v>
      </c>
      <c r="BO16" s="133">
        <f t="shared" si="55"/>
        <v>4144500.0165497065</v>
      </c>
    </row>
    <row r="17" spans="1:67" x14ac:dyDescent="0.25">
      <c r="A17" s="131" t="s">
        <v>16</v>
      </c>
      <c r="B17" s="69">
        <v>23245886</v>
      </c>
      <c r="C17" s="69">
        <f t="shared" si="0"/>
        <v>10344373</v>
      </c>
      <c r="D17" s="69">
        <v>4566008</v>
      </c>
      <c r="E17" s="69">
        <v>2060812</v>
      </c>
      <c r="F17" s="69">
        <v>3717553</v>
      </c>
      <c r="G17" s="69">
        <v>12901513</v>
      </c>
      <c r="H17" s="69">
        <f t="shared" si="1"/>
        <v>15497257.333333332</v>
      </c>
      <c r="I17" s="69">
        <f t="shared" si="2"/>
        <v>6896248.666666666</v>
      </c>
      <c r="J17" s="69">
        <f t="shared" si="3"/>
        <v>3044005.3333333335</v>
      </c>
      <c r="K17" s="69">
        <f t="shared" si="4"/>
        <v>1373874.6666666667</v>
      </c>
      <c r="L17" s="69">
        <f t="shared" si="5"/>
        <v>2478368.6666666665</v>
      </c>
      <c r="M17" s="69">
        <f t="shared" si="6"/>
        <v>8601008.666666666</v>
      </c>
      <c r="N17" s="69">
        <v>786686.3</v>
      </c>
      <c r="O17" s="69">
        <f t="shared" si="7"/>
        <v>261179.85159999999</v>
      </c>
      <c r="P17" s="69">
        <f t="shared" si="8"/>
        <v>20453.843800000002</v>
      </c>
      <c r="Q17" s="69">
        <f t="shared" si="9"/>
        <v>77881.943700000003</v>
      </c>
      <c r="R17" s="69">
        <f t="shared" si="10"/>
        <v>162844.06409999999</v>
      </c>
      <c r="S17" s="69">
        <f t="shared" si="11"/>
        <v>525506.44839999999</v>
      </c>
      <c r="T17" s="69">
        <f t="shared" si="12"/>
        <v>39529829.633333325</v>
      </c>
      <c r="U17" s="69">
        <f t="shared" si="13"/>
        <v>17501801.518266667</v>
      </c>
      <c r="V17" s="69">
        <f t="shared" si="14"/>
        <v>7630467.1771333339</v>
      </c>
      <c r="W17" s="69">
        <f t="shared" si="15"/>
        <v>3512568.6103666672</v>
      </c>
      <c r="X17" s="69">
        <f t="shared" si="16"/>
        <v>6358765.7307666661</v>
      </c>
      <c r="Y17" s="69">
        <f t="shared" si="17"/>
        <v>22028028.115066662</v>
      </c>
      <c r="Z17" s="132">
        <v>1</v>
      </c>
      <c r="AA17" s="132">
        <f t="shared" si="18"/>
        <v>0.4427492271180537</v>
      </c>
      <c r="AB17" s="132">
        <f t="shared" si="19"/>
        <v>0.1930306112601857</v>
      </c>
      <c r="AC17" s="132">
        <f t="shared" si="20"/>
        <v>8.8858683251311354E-2</v>
      </c>
      <c r="AD17" s="132">
        <f t="shared" si="21"/>
        <v>0.16085993260655668</v>
      </c>
      <c r="AE17" s="132">
        <f t="shared" si="22"/>
        <v>0.55725077288194635</v>
      </c>
      <c r="AF17" s="69">
        <f t="shared" si="23"/>
        <v>24780114.475999996</v>
      </c>
      <c r="AG17" s="69">
        <f t="shared" si="24"/>
        <v>11027101.617999999</v>
      </c>
      <c r="AH17" s="69">
        <f t="shared" si="25"/>
        <v>4867364.527999999</v>
      </c>
      <c r="AI17" s="69">
        <f t="shared" si="26"/>
        <v>2196825.5919999997</v>
      </c>
      <c r="AJ17" s="69">
        <f t="shared" si="27"/>
        <v>3962911.4979999992</v>
      </c>
      <c r="AK17" s="69">
        <f t="shared" si="28"/>
        <v>13753012.857999997</v>
      </c>
      <c r="AL17" s="69">
        <f t="shared" si="29"/>
        <v>25444221.543956801</v>
      </c>
      <c r="AM17" s="69">
        <f t="shared" si="30"/>
        <v>11322627.9413624</v>
      </c>
      <c r="AN17" s="69">
        <f t="shared" si="31"/>
        <v>4997809.8973503998</v>
      </c>
      <c r="AO17" s="69">
        <f t="shared" si="32"/>
        <v>2255700.5178656001</v>
      </c>
      <c r="AP17" s="69">
        <f t="shared" si="33"/>
        <v>4069117.5261463998</v>
      </c>
      <c r="AQ17" s="69">
        <f t="shared" si="34"/>
        <v>14121593.6025944</v>
      </c>
      <c r="AR17" s="69">
        <f t="shared" si="35"/>
        <v>16962814.362637866</v>
      </c>
      <c r="AS17" s="69">
        <f t="shared" si="36"/>
        <v>7548418.6275749337</v>
      </c>
      <c r="AT17" s="69">
        <f t="shared" si="37"/>
        <v>3331873.2649002667</v>
      </c>
      <c r="AU17" s="69">
        <f t="shared" si="38"/>
        <v>1503800.3452437334</v>
      </c>
      <c r="AV17" s="69">
        <f t="shared" si="39"/>
        <v>2712745.0174309332</v>
      </c>
      <c r="AW17" s="69">
        <f t="shared" si="40"/>
        <v>9414395.7350629326</v>
      </c>
      <c r="AX17" s="69">
        <f>'5.1.1 Nakłady B+R'!B19*1000</f>
        <v>1723762.56</v>
      </c>
      <c r="AY17" s="69">
        <f t="shared" si="41"/>
        <v>586941.15168000001</v>
      </c>
      <c r="AZ17" s="69">
        <f t="shared" si="42"/>
        <v>48610.104191999999</v>
      </c>
      <c r="BA17" s="69">
        <f t="shared" si="43"/>
        <v>167032.592064</v>
      </c>
      <c r="BB17" s="69">
        <f t="shared" si="44"/>
        <v>371298.45542399999</v>
      </c>
      <c r="BC17" s="69">
        <f t="shared" si="45"/>
        <v>1136821.4083199999</v>
      </c>
      <c r="BD17" s="69">
        <f>'5.1.1 Nakłady B+R'!C19*1000</f>
        <v>1782370.4870400003</v>
      </c>
      <c r="BE17" s="69">
        <f t="shared" si="46"/>
        <v>606897.15083712002</v>
      </c>
      <c r="BF17" s="69">
        <f t="shared" si="47"/>
        <v>50262.847734528004</v>
      </c>
      <c r="BG17" s="69">
        <f t="shared" si="48"/>
        <v>172711.70019417602</v>
      </c>
      <c r="BH17" s="69">
        <f t="shared" si="49"/>
        <v>383922.60290841601</v>
      </c>
      <c r="BI17" s="69">
        <f t="shared" si="56"/>
        <v>1175473.3362028801</v>
      </c>
      <c r="BJ17" s="69">
        <f t="shared" si="50"/>
        <v>44189406.393634669</v>
      </c>
      <c r="BK17" s="69">
        <f t="shared" si="51"/>
        <v>19477943.719774455</v>
      </c>
      <c r="BL17" s="69">
        <f t="shared" si="52"/>
        <v>8379946.0099851945</v>
      </c>
      <c r="BM17" s="69">
        <f t="shared" si="53"/>
        <v>3932212.5633035097</v>
      </c>
      <c r="BN17" s="69">
        <f t="shared" si="54"/>
        <v>7165785.1464857496</v>
      </c>
      <c r="BO17" s="133">
        <f t="shared" si="55"/>
        <v>24711462.673860215</v>
      </c>
    </row>
    <row r="18" spans="1:67" x14ac:dyDescent="0.25">
      <c r="A18" s="134" t="s">
        <v>17</v>
      </c>
      <c r="B18" s="52">
        <v>6284790</v>
      </c>
      <c r="C18" s="52">
        <f t="shared" si="0"/>
        <v>4321771</v>
      </c>
      <c r="D18" s="52">
        <v>1990680</v>
      </c>
      <c r="E18" s="52">
        <v>828183</v>
      </c>
      <c r="F18" s="52">
        <v>1502908</v>
      </c>
      <c r="G18" s="52">
        <v>1963019</v>
      </c>
      <c r="H18" s="52">
        <f t="shared" si="1"/>
        <v>4189860</v>
      </c>
      <c r="I18" s="52">
        <f t="shared" si="2"/>
        <v>2881180.6666666665</v>
      </c>
      <c r="J18" s="52">
        <f t="shared" si="3"/>
        <v>1327120</v>
      </c>
      <c r="K18" s="52">
        <f t="shared" si="4"/>
        <v>552122</v>
      </c>
      <c r="L18" s="52">
        <f t="shared" si="5"/>
        <v>1001938.6666666666</v>
      </c>
      <c r="M18" s="52">
        <f t="shared" si="6"/>
        <v>1308679.3333333333</v>
      </c>
      <c r="N18" s="52">
        <v>183962.3</v>
      </c>
      <c r="O18" s="52">
        <f t="shared" si="7"/>
        <v>61075.483599999992</v>
      </c>
      <c r="P18" s="52">
        <f t="shared" si="8"/>
        <v>4783.0198</v>
      </c>
      <c r="Q18" s="52">
        <f t="shared" si="9"/>
        <v>18212.2677</v>
      </c>
      <c r="R18" s="52">
        <f t="shared" si="10"/>
        <v>38080.196099999994</v>
      </c>
      <c r="S18" s="52">
        <f t="shared" si="11"/>
        <v>122886.81639999998</v>
      </c>
      <c r="T18" s="52">
        <f t="shared" si="12"/>
        <v>10658612.299999999</v>
      </c>
      <c r="U18" s="52">
        <f t="shared" si="13"/>
        <v>7264027.150266666</v>
      </c>
      <c r="V18" s="52">
        <f t="shared" si="14"/>
        <v>3322583.0197999999</v>
      </c>
      <c r="W18" s="52">
        <f t="shared" si="15"/>
        <v>1398517.2677</v>
      </c>
      <c r="X18" s="52">
        <f t="shared" si="16"/>
        <v>2542926.8627666663</v>
      </c>
      <c r="Y18" s="52">
        <f t="shared" si="17"/>
        <v>3394585.1497333329</v>
      </c>
      <c r="Z18" s="135">
        <v>1</v>
      </c>
      <c r="AA18" s="135">
        <f t="shared" si="18"/>
        <v>0.68151715681286829</v>
      </c>
      <c r="AB18" s="135">
        <f t="shared" si="19"/>
        <v>0.31172754259951835</v>
      </c>
      <c r="AC18" s="135">
        <f t="shared" si="20"/>
        <v>0.13121007016082198</v>
      </c>
      <c r="AD18" s="135">
        <f t="shared" si="21"/>
        <v>0.23857954405252799</v>
      </c>
      <c r="AE18" s="135">
        <f t="shared" si="22"/>
        <v>0.31848284318713171</v>
      </c>
      <c r="AF18" s="52">
        <f t="shared" si="23"/>
        <v>6699586.1399999997</v>
      </c>
      <c r="AG18" s="52">
        <f t="shared" si="24"/>
        <v>4607007.8859999999</v>
      </c>
      <c r="AH18" s="52">
        <f t="shared" si="25"/>
        <v>2122064.88</v>
      </c>
      <c r="AI18" s="52">
        <f t="shared" si="26"/>
        <v>882843.07799999986</v>
      </c>
      <c r="AJ18" s="52">
        <f t="shared" si="27"/>
        <v>1602099.9279999998</v>
      </c>
      <c r="AK18" s="52">
        <f t="shared" si="28"/>
        <v>2092578.2539999997</v>
      </c>
      <c r="AL18" s="52">
        <f t="shared" si="29"/>
        <v>6879135.0485520009</v>
      </c>
      <c r="AM18" s="52">
        <f t="shared" si="30"/>
        <v>4730475.6973448005</v>
      </c>
      <c r="AN18" s="52">
        <f t="shared" si="31"/>
        <v>2178936.2187840003</v>
      </c>
      <c r="AO18" s="52">
        <f t="shared" si="32"/>
        <v>906503.27249040001</v>
      </c>
      <c r="AP18" s="52">
        <f t="shared" si="33"/>
        <v>1645036.2060704001</v>
      </c>
      <c r="AQ18" s="52">
        <f t="shared" si="34"/>
        <v>2148659.3512072</v>
      </c>
      <c r="AR18" s="52">
        <f t="shared" si="35"/>
        <v>4586090.0323680006</v>
      </c>
      <c r="AS18" s="52">
        <f t="shared" si="36"/>
        <v>3153650.4648965336</v>
      </c>
      <c r="AT18" s="52">
        <f t="shared" si="37"/>
        <v>1452624.1458560003</v>
      </c>
      <c r="AU18" s="52">
        <f t="shared" si="38"/>
        <v>604335.51499360008</v>
      </c>
      <c r="AV18" s="52">
        <f t="shared" si="39"/>
        <v>1096690.8040469333</v>
      </c>
      <c r="AW18" s="52">
        <f t="shared" si="40"/>
        <v>1432439.5674714667</v>
      </c>
      <c r="AX18" s="52">
        <f>'5.1.1 Nakłady B+R'!B20*1000</f>
        <v>647528.96000000008</v>
      </c>
      <c r="AY18" s="52">
        <f t="shared" si="41"/>
        <v>220483.61088000002</v>
      </c>
      <c r="AZ18" s="52">
        <f t="shared" si="42"/>
        <v>18260.316672000001</v>
      </c>
      <c r="BA18" s="52">
        <f t="shared" si="43"/>
        <v>62745.556224000007</v>
      </c>
      <c r="BB18" s="52">
        <f t="shared" si="44"/>
        <v>139477.73798400001</v>
      </c>
      <c r="BC18" s="52">
        <f t="shared" si="45"/>
        <v>427045.34912000003</v>
      </c>
      <c r="BD18" s="52">
        <f>'5.1.1 Nakłady B+R'!C20*1000</f>
        <v>669544.94464000012</v>
      </c>
      <c r="BE18" s="52">
        <f t="shared" si="46"/>
        <v>227980.05364992004</v>
      </c>
      <c r="BF18" s="52">
        <f t="shared" si="47"/>
        <v>18881.167438848002</v>
      </c>
      <c r="BG18" s="52">
        <f t="shared" si="48"/>
        <v>64878.905135616013</v>
      </c>
      <c r="BH18" s="52">
        <f t="shared" si="49"/>
        <v>144219.98107545602</v>
      </c>
      <c r="BI18" s="52">
        <f t="shared" si="56"/>
        <v>441564.89099008008</v>
      </c>
      <c r="BJ18" s="52">
        <f t="shared" si="50"/>
        <v>12134770.025560001</v>
      </c>
      <c r="BK18" s="52">
        <f t="shared" si="51"/>
        <v>8112106.2158912541</v>
      </c>
      <c r="BL18" s="52">
        <f t="shared" si="52"/>
        <v>3650441.5320788482</v>
      </c>
      <c r="BM18" s="52">
        <f t="shared" si="53"/>
        <v>1575717.6926196162</v>
      </c>
      <c r="BN18" s="52">
        <f t="shared" si="54"/>
        <v>2885946.9911927897</v>
      </c>
      <c r="BO18" s="53">
        <f t="shared" si="55"/>
        <v>4022663.8096687468</v>
      </c>
    </row>
    <row r="19" spans="1:67" x14ac:dyDescent="0.25"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</row>
    <row r="20" spans="1:67" x14ac:dyDescent="0.25">
      <c r="A20" s="33" t="s">
        <v>261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1"/>
    </row>
    <row r="22" spans="1:67" x14ac:dyDescent="0.25">
      <c r="A22" s="33" t="s">
        <v>262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1"/>
    </row>
    <row r="24" spans="1:67" x14ac:dyDescent="0.25">
      <c r="A24" s="33" t="s">
        <v>263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1"/>
    </row>
    <row r="26" spans="1:67" x14ac:dyDescent="0.25">
      <c r="A26" s="33" t="s">
        <v>264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1"/>
    </row>
    <row r="28" spans="1:67" x14ac:dyDescent="0.25">
      <c r="A28" s="33" t="s">
        <v>265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1"/>
    </row>
    <row r="30" spans="1:67" x14ac:dyDescent="0.25">
      <c r="A30" s="33" t="s">
        <v>266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1"/>
    </row>
    <row r="32" spans="1:67" x14ac:dyDescent="0.25">
      <c r="A32" s="33" t="s">
        <v>267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1"/>
    </row>
    <row r="34" spans="1:67" x14ac:dyDescent="0.25">
      <c r="A34" s="33" t="s">
        <v>276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1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Y18"/>
  <sheetViews>
    <sheetView topLeftCell="I1" zoomScale="90" zoomScaleNormal="90" workbookViewId="0">
      <selection activeCell="F29" sqref="F29"/>
    </sheetView>
  </sheetViews>
  <sheetFormatPr defaultRowHeight="15" x14ac:dyDescent="0.25"/>
  <cols>
    <col min="1" max="1" width="17.85546875" customWidth="1"/>
    <col min="2" max="2" width="30.5703125" customWidth="1"/>
    <col min="3" max="3" width="14.7109375" customWidth="1"/>
    <col min="4" max="4" width="13.85546875" customWidth="1"/>
    <col min="5" max="5" width="14.42578125" customWidth="1"/>
    <col min="6" max="6" width="14.7109375" customWidth="1"/>
    <col min="7" max="7" width="15" customWidth="1"/>
    <col min="8" max="8" width="20.7109375" customWidth="1"/>
    <col min="9" max="9" width="15.85546875" customWidth="1"/>
    <col min="10" max="10" width="15.28515625" customWidth="1"/>
    <col min="11" max="11" width="13.5703125" customWidth="1"/>
    <col min="12" max="13" width="14" bestFit="1" customWidth="1"/>
    <col min="14" max="14" width="21.7109375" customWidth="1"/>
    <col min="15" max="15" width="15" customWidth="1"/>
    <col min="16" max="16" width="13.140625" customWidth="1"/>
    <col min="17" max="17" width="13" customWidth="1"/>
    <col min="18" max="18" width="13.85546875" customWidth="1"/>
    <col min="19" max="19" width="13.5703125" customWidth="1"/>
    <col min="20" max="20" width="19.28515625" customWidth="1"/>
    <col min="21" max="21" width="15.7109375" customWidth="1"/>
    <col min="22" max="23" width="14.42578125" customWidth="1"/>
    <col min="24" max="24" width="14" customWidth="1"/>
    <col min="25" max="25" width="16" customWidth="1"/>
  </cols>
  <sheetData>
    <row r="1" spans="1:25" ht="47.25" customHeight="1" thickBot="1" x14ac:dyDescent="0.3">
      <c r="A1" s="148" t="s">
        <v>128</v>
      </c>
      <c r="B1" s="149" t="s">
        <v>297</v>
      </c>
      <c r="C1" s="148" t="s">
        <v>66</v>
      </c>
      <c r="D1" s="148" t="s">
        <v>20</v>
      </c>
      <c r="E1" s="148" t="s">
        <v>21</v>
      </c>
      <c r="F1" s="148" t="s">
        <v>22</v>
      </c>
      <c r="G1" s="148" t="s">
        <v>23</v>
      </c>
      <c r="H1" s="149" t="s">
        <v>298</v>
      </c>
      <c r="I1" s="148" t="s">
        <v>203</v>
      </c>
      <c r="J1" s="148" t="s">
        <v>204</v>
      </c>
      <c r="K1" s="148" t="s">
        <v>205</v>
      </c>
      <c r="L1" s="148" t="s">
        <v>206</v>
      </c>
      <c r="M1" s="148" t="s">
        <v>207</v>
      </c>
      <c r="N1" s="149" t="s">
        <v>299</v>
      </c>
      <c r="O1" s="148" t="s">
        <v>209</v>
      </c>
      <c r="P1" s="148" t="s">
        <v>210</v>
      </c>
      <c r="Q1" s="148" t="s">
        <v>211</v>
      </c>
      <c r="R1" s="148" t="s">
        <v>212</v>
      </c>
      <c r="S1" s="148" t="s">
        <v>213</v>
      </c>
      <c r="T1" s="149" t="s">
        <v>300</v>
      </c>
      <c r="U1" s="148" t="s">
        <v>215</v>
      </c>
      <c r="V1" s="148" t="s">
        <v>216</v>
      </c>
      <c r="W1" s="148" t="s">
        <v>217</v>
      </c>
      <c r="X1" s="148" t="s">
        <v>218</v>
      </c>
      <c r="Y1" s="148" t="s">
        <v>219</v>
      </c>
    </row>
    <row r="2" spans="1:25" ht="15.75" thickTop="1" x14ac:dyDescent="0.25">
      <c r="A2" s="131">
        <v>2020</v>
      </c>
      <c r="B2" s="69">
        <f>SUM(D2:G2)</f>
        <v>238843.56034808879</v>
      </c>
      <c r="C2" s="69">
        <f>SUM(D2:F2)</f>
        <v>108879.86492225439</v>
      </c>
      <c r="D2" s="69">
        <f>'5.1.1 Nakłady_razem'!AN2/1000</f>
        <v>42419.204957656795</v>
      </c>
      <c r="E2" s="69">
        <f>'5.1.1 Nakłady_razem'!AO2/1000</f>
        <v>20941.236647728798</v>
      </c>
      <c r="F2" s="69">
        <f>'5.1.1 Nakłady_razem'!AP2/1000</f>
        <v>45519.423316868793</v>
      </c>
      <c r="G2" s="69">
        <f>'5.1.1 Nakłady_razem'!AQ2/1000</f>
        <v>129963.69542583442</v>
      </c>
      <c r="H2" s="69">
        <f>SUM(J2:M2)</f>
        <v>159229.0402320592</v>
      </c>
      <c r="I2" s="69">
        <f>SUM(J2:L2)</f>
        <v>72586.57661483626</v>
      </c>
      <c r="J2" s="69">
        <f>D2*40/60</f>
        <v>28279.469971771196</v>
      </c>
      <c r="K2" s="69">
        <f>E2*40/60</f>
        <v>13960.824431819199</v>
      </c>
      <c r="L2" s="69">
        <f>F2*40/60</f>
        <v>30346.28221124586</v>
      </c>
      <c r="M2" s="69">
        <f>G2*40/60</f>
        <v>86642.463617222937</v>
      </c>
      <c r="N2" s="69">
        <f>SUM(P2:S2)</f>
        <v>18197.164494080003</v>
      </c>
      <c r="O2" s="69">
        <f>SUM(P2:R2)</f>
        <v>6196.1345102342411</v>
      </c>
      <c r="P2" s="69">
        <f>'5.1.1 Nakłady_razem'!BF2/1000</f>
        <v>513.16003873305613</v>
      </c>
      <c r="Q2" s="69">
        <f>'5.1.1 Nakłady_razem'!BG2/1000</f>
        <v>1763.3052394763524</v>
      </c>
      <c r="R2" s="69">
        <f>'5.1.1 Nakłady_razem'!BH2/1000</f>
        <v>3919.6692320248326</v>
      </c>
      <c r="S2" s="69">
        <f>'5.1.1 Nakłady_razem'!BI2/1000</f>
        <v>12001.029983845763</v>
      </c>
      <c r="T2" s="69">
        <f>SUM(V2:Y2)</f>
        <v>416269.76507422799</v>
      </c>
      <c r="U2" s="69">
        <f>SUM(V2:X2)</f>
        <v>187662.57604732487</v>
      </c>
      <c r="V2" s="69">
        <f>D2+J2+P2</f>
        <v>71211.834968161042</v>
      </c>
      <c r="W2" s="69">
        <f>E2+K2+Q2</f>
        <v>36665.366319024346</v>
      </c>
      <c r="X2" s="69">
        <f>F2+L2+R2</f>
        <v>79785.374760139486</v>
      </c>
      <c r="Y2" s="133">
        <f>G2+M2+S2</f>
        <v>228607.18902690313</v>
      </c>
    </row>
    <row r="3" spans="1:25" x14ac:dyDescent="0.25">
      <c r="A3" s="131">
        <v>2021</v>
      </c>
      <c r="B3" s="69">
        <f t="shared" ref="B3:B11" si="0">SUM(D3:G3)</f>
        <v>253174.17396897415</v>
      </c>
      <c r="C3" s="69">
        <f>SUM(D3:F3)</f>
        <v>115412.65681758965</v>
      </c>
      <c r="D3" s="69">
        <f t="shared" ref="D3:D11" si="1">D2*106%</f>
        <v>44964.357255116207</v>
      </c>
      <c r="E3" s="69">
        <f t="shared" ref="E3:G11" si="2">E2*106%</f>
        <v>22197.710846592527</v>
      </c>
      <c r="F3" s="69">
        <f t="shared" si="2"/>
        <v>48250.58871588092</v>
      </c>
      <c r="G3" s="69">
        <f t="shared" si="2"/>
        <v>137761.5171513845</v>
      </c>
      <c r="H3" s="69">
        <f t="shared" ref="H3:H11" si="3">SUM(J3:M3)</f>
        <v>168782.78264598278</v>
      </c>
      <c r="I3" s="69">
        <f t="shared" ref="I3:I11" si="4">SUM(J3:L3)</f>
        <v>76941.771211726445</v>
      </c>
      <c r="J3" s="69">
        <f t="shared" ref="J3:M11" si="5">D3*40/60</f>
        <v>29976.238170077475</v>
      </c>
      <c r="K3" s="69">
        <f t="shared" si="5"/>
        <v>14798.47389772835</v>
      </c>
      <c r="L3" s="69">
        <f t="shared" si="5"/>
        <v>32167.059143920615</v>
      </c>
      <c r="M3" s="69">
        <f t="shared" si="5"/>
        <v>91841.011434256332</v>
      </c>
      <c r="N3" s="69">
        <f>'5.1.1 Nakłady B+R'!D4</f>
        <v>20301.221236296005</v>
      </c>
      <c r="O3" s="69">
        <f t="shared" ref="O3:O11" si="6">SUM(P3:R3)</f>
        <v>6912.5658309587898</v>
      </c>
      <c r="P3" s="69">
        <f>N3*2.82%</f>
        <v>572.49443886354732</v>
      </c>
      <c r="Q3" s="69">
        <f>N3*9.69%</f>
        <v>1967.188337797083</v>
      </c>
      <c r="R3" s="69">
        <f>N3*21.54%</f>
        <v>4372.8830542981595</v>
      </c>
      <c r="S3" s="69">
        <f>N3*65.95%</f>
        <v>13388.655405337215</v>
      </c>
      <c r="T3" s="69">
        <f t="shared" ref="T3:T11" si="7">SUM(V3:Y3)</f>
        <v>442258.17785125296</v>
      </c>
      <c r="U3" s="69">
        <f t="shared" ref="U3:U11" si="8">SUM(V3:X3)</f>
        <v>199266.9938602749</v>
      </c>
      <c r="V3" s="69">
        <f t="shared" ref="V3:V11" si="9">D3+J3+P3</f>
        <v>75513.089864057227</v>
      </c>
      <c r="W3" s="69">
        <f t="shared" ref="W3:W11" si="10">E3+K3+Q3</f>
        <v>38963.373082117956</v>
      </c>
      <c r="X3" s="69">
        <f t="shared" ref="X3:X11" si="11">F3+L3+R3</f>
        <v>84790.530914099698</v>
      </c>
      <c r="Y3" s="133">
        <f t="shared" ref="Y3:Y11" si="12">G3+M3+S3</f>
        <v>242991.18399097805</v>
      </c>
    </row>
    <row r="4" spans="1:25" x14ac:dyDescent="0.25">
      <c r="A4" s="131">
        <v>2022</v>
      </c>
      <c r="B4" s="69">
        <f t="shared" si="0"/>
        <v>268364.6244071126</v>
      </c>
      <c r="C4" s="69">
        <f t="shared" ref="C4:C11" si="13">SUM(D4:F4)</f>
        <v>122337.41622664503</v>
      </c>
      <c r="D4" s="69">
        <f t="shared" si="1"/>
        <v>47662.218690423178</v>
      </c>
      <c r="E4" s="69">
        <f t="shared" si="2"/>
        <v>23529.573497388079</v>
      </c>
      <c r="F4" s="69">
        <f t="shared" si="2"/>
        <v>51145.624038833776</v>
      </c>
      <c r="G4" s="69">
        <f t="shared" si="2"/>
        <v>146027.20818046757</v>
      </c>
      <c r="H4" s="69">
        <f t="shared" si="3"/>
        <v>178909.74960474175</v>
      </c>
      <c r="I4" s="69">
        <f t="shared" si="4"/>
        <v>81558.277484430029</v>
      </c>
      <c r="J4" s="69">
        <f t="shared" si="5"/>
        <v>31774.812460282119</v>
      </c>
      <c r="K4" s="69">
        <f t="shared" si="5"/>
        <v>15686.382331592053</v>
      </c>
      <c r="L4" s="69">
        <f t="shared" si="5"/>
        <v>34097.08269255585</v>
      </c>
      <c r="M4" s="69">
        <f t="shared" si="5"/>
        <v>97351.472120311722</v>
      </c>
      <c r="N4" s="69">
        <f>'5.1.1 Nakłady B+R'!E4</f>
        <v>22570.181256823205</v>
      </c>
      <c r="O4" s="69">
        <f t="shared" si="6"/>
        <v>7685.1467179483006</v>
      </c>
      <c r="P4" s="69">
        <f t="shared" ref="P4:P11" si="14">N4*2.82%</f>
        <v>636.47911144241436</v>
      </c>
      <c r="Q4" s="69">
        <f t="shared" ref="Q4:Q11" si="15">N4*9.69%</f>
        <v>2187.0505637861688</v>
      </c>
      <c r="R4" s="69">
        <f t="shared" ref="R4:R11" si="16">N4*21.54%</f>
        <v>4861.6170427197176</v>
      </c>
      <c r="S4" s="69">
        <f t="shared" ref="S4:S11" si="17">N4*65.95%</f>
        <v>14885.034538874903</v>
      </c>
      <c r="T4" s="69">
        <f t="shared" si="7"/>
        <v>469844.55526867753</v>
      </c>
      <c r="U4" s="69">
        <f t="shared" si="8"/>
        <v>211580.84042902337</v>
      </c>
      <c r="V4" s="69">
        <f t="shared" si="9"/>
        <v>80073.510262147713</v>
      </c>
      <c r="W4" s="69">
        <f t="shared" si="10"/>
        <v>41403.006392766307</v>
      </c>
      <c r="X4" s="69">
        <f t="shared" si="11"/>
        <v>90104.323774109347</v>
      </c>
      <c r="Y4" s="133">
        <f t="shared" si="12"/>
        <v>258263.71483965419</v>
      </c>
    </row>
    <row r="5" spans="1:25" x14ac:dyDescent="0.25">
      <c r="A5" s="131">
        <v>2023</v>
      </c>
      <c r="B5" s="69">
        <f t="shared" si="0"/>
        <v>284466.5018715394</v>
      </c>
      <c r="C5" s="69">
        <f t="shared" si="13"/>
        <v>129677.66120024375</v>
      </c>
      <c r="D5" s="69">
        <f t="shared" si="1"/>
        <v>50521.951811848572</v>
      </c>
      <c r="E5" s="69">
        <f t="shared" si="2"/>
        <v>24941.347907231364</v>
      </c>
      <c r="F5" s="69">
        <f t="shared" si="2"/>
        <v>54214.361481163804</v>
      </c>
      <c r="G5" s="69">
        <f t="shared" si="2"/>
        <v>154788.84067129562</v>
      </c>
      <c r="H5" s="69">
        <f t="shared" si="3"/>
        <v>189644.33458102623</v>
      </c>
      <c r="I5" s="69">
        <f t="shared" si="4"/>
        <v>86451.774133495812</v>
      </c>
      <c r="J5" s="69">
        <f t="shared" si="5"/>
        <v>33681.301207899043</v>
      </c>
      <c r="K5" s="69">
        <f t="shared" si="5"/>
        <v>16627.565271487576</v>
      </c>
      <c r="L5" s="69">
        <f t="shared" si="5"/>
        <v>36142.9076541092</v>
      </c>
      <c r="M5" s="69">
        <f t="shared" si="5"/>
        <v>103192.56044753041</v>
      </c>
      <c r="N5" s="69">
        <f>'5.1.1 Nakłady B+R'!F4</f>
        <v>25015.284226312389</v>
      </c>
      <c r="O5" s="69">
        <f t="shared" si="6"/>
        <v>8517.7042790593678</v>
      </c>
      <c r="P5" s="69">
        <f t="shared" si="14"/>
        <v>705.43101518200933</v>
      </c>
      <c r="Q5" s="69">
        <f t="shared" si="15"/>
        <v>2423.9810415296706</v>
      </c>
      <c r="R5" s="69">
        <f t="shared" si="16"/>
        <v>5388.292222347688</v>
      </c>
      <c r="S5" s="69">
        <f t="shared" si="17"/>
        <v>16497.57994725302</v>
      </c>
      <c r="T5" s="69">
        <f t="shared" si="7"/>
        <v>499126.12067887798</v>
      </c>
      <c r="U5" s="69">
        <f t="shared" si="8"/>
        <v>224647.13961279893</v>
      </c>
      <c r="V5" s="69">
        <f t="shared" si="9"/>
        <v>84908.684034929625</v>
      </c>
      <c r="W5" s="69">
        <f t="shared" si="10"/>
        <v>43992.894220248607</v>
      </c>
      <c r="X5" s="69">
        <f t="shared" si="11"/>
        <v>95745.561357620696</v>
      </c>
      <c r="Y5" s="133">
        <f t="shared" si="12"/>
        <v>274478.98106607905</v>
      </c>
    </row>
    <row r="6" spans="1:25" x14ac:dyDescent="0.25">
      <c r="A6" s="131">
        <v>2024</v>
      </c>
      <c r="B6" s="69">
        <f t="shared" si="0"/>
        <v>301534.49198383174</v>
      </c>
      <c r="C6" s="69">
        <f t="shared" si="13"/>
        <v>137458.32087225837</v>
      </c>
      <c r="D6" s="69">
        <f t="shared" si="1"/>
        <v>53553.268920559487</v>
      </c>
      <c r="E6" s="69">
        <f t="shared" si="2"/>
        <v>26437.828781665248</v>
      </c>
      <c r="F6" s="69">
        <f t="shared" si="2"/>
        <v>57467.223170033634</v>
      </c>
      <c r="G6" s="69">
        <f t="shared" si="2"/>
        <v>164076.17111157338</v>
      </c>
      <c r="H6" s="69">
        <f t="shared" si="3"/>
        <v>201022.99465588783</v>
      </c>
      <c r="I6" s="69">
        <f t="shared" si="4"/>
        <v>91638.880581505582</v>
      </c>
      <c r="J6" s="69">
        <f t="shared" si="5"/>
        <v>35702.179280372991</v>
      </c>
      <c r="K6" s="69">
        <f t="shared" si="5"/>
        <v>17625.219187776835</v>
      </c>
      <c r="L6" s="69">
        <f t="shared" si="5"/>
        <v>38311.482113355756</v>
      </c>
      <c r="M6" s="69">
        <f t="shared" si="5"/>
        <v>109384.11407438225</v>
      </c>
      <c r="N6" s="69">
        <f>'5.1.1 Nakłady B+R'!G4</f>
        <v>27648.47203960843</v>
      </c>
      <c r="O6" s="69">
        <f t="shared" si="6"/>
        <v>9414.3047294866701</v>
      </c>
      <c r="P6" s="69">
        <f t="shared" si="14"/>
        <v>779.68691151695771</v>
      </c>
      <c r="Q6" s="69">
        <f t="shared" si="15"/>
        <v>2679.1369406380568</v>
      </c>
      <c r="R6" s="69">
        <f t="shared" si="16"/>
        <v>5955.4808773316554</v>
      </c>
      <c r="S6" s="69">
        <f t="shared" si="17"/>
        <v>18234.16731012176</v>
      </c>
      <c r="T6" s="69">
        <f t="shared" si="7"/>
        <v>530205.95867932797</v>
      </c>
      <c r="U6" s="69">
        <f t="shared" si="8"/>
        <v>238511.50618325063</v>
      </c>
      <c r="V6" s="69">
        <f t="shared" si="9"/>
        <v>90035.135112449425</v>
      </c>
      <c r="W6" s="69">
        <f t="shared" si="10"/>
        <v>46742.184910080134</v>
      </c>
      <c r="X6" s="69">
        <f t="shared" si="11"/>
        <v>101734.18616072106</v>
      </c>
      <c r="Y6" s="133">
        <f t="shared" si="12"/>
        <v>291694.4524960774</v>
      </c>
    </row>
    <row r="7" spans="1:25" x14ac:dyDescent="0.25">
      <c r="A7" s="131">
        <v>2025</v>
      </c>
      <c r="B7" s="69">
        <f t="shared" si="0"/>
        <v>319626.56150286167</v>
      </c>
      <c r="C7" s="69">
        <f t="shared" si="13"/>
        <v>145705.82012459388</v>
      </c>
      <c r="D7" s="69">
        <f t="shared" si="1"/>
        <v>56766.465055793058</v>
      </c>
      <c r="E7" s="69">
        <f t="shared" si="2"/>
        <v>28024.098508565163</v>
      </c>
      <c r="F7" s="69">
        <f t="shared" si="2"/>
        <v>60915.256560235655</v>
      </c>
      <c r="G7" s="69">
        <f t="shared" si="2"/>
        <v>173920.74137826779</v>
      </c>
      <c r="H7" s="69">
        <f t="shared" si="3"/>
        <v>213084.3743352411</v>
      </c>
      <c r="I7" s="69">
        <f t="shared" si="4"/>
        <v>97137.213416395913</v>
      </c>
      <c r="J7" s="69">
        <f t="shared" si="5"/>
        <v>37844.31003719537</v>
      </c>
      <c r="K7" s="69">
        <f t="shared" si="5"/>
        <v>18682.732339043443</v>
      </c>
      <c r="L7" s="69">
        <f t="shared" si="5"/>
        <v>40610.171040157104</v>
      </c>
      <c r="M7" s="69">
        <f t="shared" si="5"/>
        <v>115947.16091884518</v>
      </c>
      <c r="N7" s="69">
        <f>'5.1.1 Nakłady B+R'!H4</f>
        <v>30482.440423668297</v>
      </c>
      <c r="O7" s="69">
        <f t="shared" si="6"/>
        <v>10379.270964259054</v>
      </c>
      <c r="P7" s="69">
        <f t="shared" si="14"/>
        <v>859.604819947446</v>
      </c>
      <c r="Q7" s="69">
        <f t="shared" si="15"/>
        <v>2953.7484770534579</v>
      </c>
      <c r="R7" s="69">
        <f t="shared" si="16"/>
        <v>6565.9176672581507</v>
      </c>
      <c r="S7" s="69">
        <f t="shared" si="17"/>
        <v>20103.169459409241</v>
      </c>
      <c r="T7" s="69">
        <f t="shared" si="7"/>
        <v>563193.37626177107</v>
      </c>
      <c r="U7" s="69">
        <f t="shared" si="8"/>
        <v>253222.30450524885</v>
      </c>
      <c r="V7" s="69">
        <f t="shared" si="9"/>
        <v>95470.379912935867</v>
      </c>
      <c r="W7" s="69">
        <f t="shared" si="10"/>
        <v>49660.579324662067</v>
      </c>
      <c r="X7" s="69">
        <f t="shared" si="11"/>
        <v>108091.3452676509</v>
      </c>
      <c r="Y7" s="133">
        <f t="shared" si="12"/>
        <v>309971.07175652223</v>
      </c>
    </row>
    <row r="8" spans="1:25" x14ac:dyDescent="0.25">
      <c r="A8" s="131">
        <v>2026</v>
      </c>
      <c r="B8" s="69">
        <f t="shared" si="0"/>
        <v>338804.1551930334</v>
      </c>
      <c r="C8" s="69">
        <f t="shared" si="13"/>
        <v>154448.16933206952</v>
      </c>
      <c r="D8" s="69">
        <f t="shared" si="1"/>
        <v>60172.452959140646</v>
      </c>
      <c r="E8" s="69">
        <f t="shared" si="2"/>
        <v>29705.544419079073</v>
      </c>
      <c r="F8" s="69">
        <f t="shared" si="2"/>
        <v>64570.1719538498</v>
      </c>
      <c r="G8" s="69">
        <f t="shared" si="2"/>
        <v>184355.98586096388</v>
      </c>
      <c r="H8" s="69">
        <f t="shared" si="3"/>
        <v>225869.43679535558</v>
      </c>
      <c r="I8" s="69">
        <f t="shared" si="4"/>
        <v>102965.44622137968</v>
      </c>
      <c r="J8" s="69">
        <f t="shared" si="5"/>
        <v>40114.968639427098</v>
      </c>
      <c r="K8" s="69">
        <f t="shared" si="5"/>
        <v>19803.696279386051</v>
      </c>
      <c r="L8" s="69">
        <f t="shared" si="5"/>
        <v>43046.781302566531</v>
      </c>
      <c r="M8" s="69">
        <f t="shared" si="5"/>
        <v>122903.99057397591</v>
      </c>
      <c r="N8" s="69">
        <f>'5.1.1 Nakłady B+R'!I4</f>
        <v>33530.684466035127</v>
      </c>
      <c r="O8" s="69">
        <f t="shared" si="6"/>
        <v>11417.198060684961</v>
      </c>
      <c r="P8" s="69">
        <f t="shared" si="14"/>
        <v>945.56530194219056</v>
      </c>
      <c r="Q8" s="69">
        <f t="shared" si="15"/>
        <v>3249.1233247588038</v>
      </c>
      <c r="R8" s="69">
        <f t="shared" si="16"/>
        <v>7222.5094339839661</v>
      </c>
      <c r="S8" s="69">
        <f t="shared" si="17"/>
        <v>22113.486405350166</v>
      </c>
      <c r="T8" s="69">
        <f t="shared" si="7"/>
        <v>598204.27645442402</v>
      </c>
      <c r="U8" s="69">
        <f t="shared" si="8"/>
        <v>268830.81361413415</v>
      </c>
      <c r="V8" s="69">
        <f t="shared" si="9"/>
        <v>101232.98690050993</v>
      </c>
      <c r="W8" s="69">
        <f t="shared" si="10"/>
        <v>52758.364023223927</v>
      </c>
      <c r="X8" s="69">
        <f t="shared" si="11"/>
        <v>114839.46269040031</v>
      </c>
      <c r="Y8" s="133">
        <f t="shared" si="12"/>
        <v>329373.46284028993</v>
      </c>
    </row>
    <row r="9" spans="1:25" x14ac:dyDescent="0.25">
      <c r="A9" s="131">
        <v>2027</v>
      </c>
      <c r="B9" s="69">
        <f t="shared" si="0"/>
        <v>359132.40450461541</v>
      </c>
      <c r="C9" s="69">
        <f t="shared" si="13"/>
        <v>163715.05949199368</v>
      </c>
      <c r="D9" s="69">
        <f t="shared" si="1"/>
        <v>63782.800136689089</v>
      </c>
      <c r="E9" s="69">
        <f t="shared" si="2"/>
        <v>31487.877084223819</v>
      </c>
      <c r="F9" s="69">
        <f t="shared" si="2"/>
        <v>68444.382271080787</v>
      </c>
      <c r="G9" s="69">
        <f t="shared" si="2"/>
        <v>195417.34501262172</v>
      </c>
      <c r="H9" s="69">
        <f t="shared" si="3"/>
        <v>239421.60300307695</v>
      </c>
      <c r="I9" s="69">
        <f t="shared" si="4"/>
        <v>109143.37299466247</v>
      </c>
      <c r="J9" s="69">
        <f t="shared" si="5"/>
        <v>42521.866757792726</v>
      </c>
      <c r="K9" s="69">
        <f t="shared" si="5"/>
        <v>20991.918056149214</v>
      </c>
      <c r="L9" s="69">
        <f t="shared" si="5"/>
        <v>45629.58818072053</v>
      </c>
      <c r="M9" s="69">
        <f t="shared" si="5"/>
        <v>130278.23000841448</v>
      </c>
      <c r="N9" s="69">
        <f>'5.1.1 Nakłady B+R'!J4</f>
        <v>36807.546811579479</v>
      </c>
      <c r="O9" s="69">
        <f t="shared" si="6"/>
        <v>12532.969689342812</v>
      </c>
      <c r="P9" s="69">
        <f t="shared" si="14"/>
        <v>1037.9728200865413</v>
      </c>
      <c r="Q9" s="69">
        <f t="shared" si="15"/>
        <v>3566.6512860420517</v>
      </c>
      <c r="R9" s="69">
        <f t="shared" si="16"/>
        <v>7928.345583214219</v>
      </c>
      <c r="S9" s="69">
        <f t="shared" si="17"/>
        <v>24274.577122236664</v>
      </c>
      <c r="T9" s="69">
        <f t="shared" si="7"/>
        <v>635361.55431927182</v>
      </c>
      <c r="U9" s="69">
        <f t="shared" si="8"/>
        <v>285391.40217599901</v>
      </c>
      <c r="V9" s="69">
        <f t="shared" si="9"/>
        <v>107342.63971456834</v>
      </c>
      <c r="W9" s="69">
        <f t="shared" si="10"/>
        <v>56046.446426415088</v>
      </c>
      <c r="X9" s="69">
        <f t="shared" si="11"/>
        <v>122002.31603501554</v>
      </c>
      <c r="Y9" s="133">
        <f t="shared" si="12"/>
        <v>349970.15214327286</v>
      </c>
    </row>
    <row r="10" spans="1:25" x14ac:dyDescent="0.25">
      <c r="A10" s="131">
        <v>2028</v>
      </c>
      <c r="B10" s="69">
        <f t="shared" si="0"/>
        <v>380680.34877489239</v>
      </c>
      <c r="C10" s="69">
        <f t="shared" si="13"/>
        <v>173537.96306151332</v>
      </c>
      <c r="D10" s="69">
        <f t="shared" si="1"/>
        <v>67609.768144890433</v>
      </c>
      <c r="E10" s="69">
        <f t="shared" si="2"/>
        <v>33377.149709277248</v>
      </c>
      <c r="F10" s="69">
        <f t="shared" si="2"/>
        <v>72551.04520734564</v>
      </c>
      <c r="G10" s="69">
        <f t="shared" si="2"/>
        <v>207142.38571337904</v>
      </c>
      <c r="H10" s="69">
        <f t="shared" si="3"/>
        <v>253786.89918326156</v>
      </c>
      <c r="I10" s="69">
        <f t="shared" si="4"/>
        <v>115691.97537434222</v>
      </c>
      <c r="J10" s="69">
        <f t="shared" si="5"/>
        <v>45073.178763260286</v>
      </c>
      <c r="K10" s="69">
        <f t="shared" si="5"/>
        <v>22251.433139518169</v>
      </c>
      <c r="L10" s="69">
        <f t="shared" si="5"/>
        <v>48367.36347156376</v>
      </c>
      <c r="M10" s="69">
        <f t="shared" si="5"/>
        <v>138094.92380891935</v>
      </c>
      <c r="N10" s="69">
        <f>'5.1.1 Nakłady B+R'!K4</f>
        <v>40328.268680513167</v>
      </c>
      <c r="O10" s="69">
        <f t="shared" si="6"/>
        <v>13731.775485714732</v>
      </c>
      <c r="P10" s="69">
        <f t="shared" si="14"/>
        <v>1137.2571767904712</v>
      </c>
      <c r="Q10" s="69">
        <f t="shared" si="15"/>
        <v>3907.8092351417258</v>
      </c>
      <c r="R10" s="69">
        <f t="shared" si="16"/>
        <v>8686.7090737825347</v>
      </c>
      <c r="S10" s="69">
        <f t="shared" si="17"/>
        <v>26596.493194798433</v>
      </c>
      <c r="T10" s="69">
        <f t="shared" si="7"/>
        <v>674795.51663866709</v>
      </c>
      <c r="U10" s="69">
        <f t="shared" si="8"/>
        <v>302961.71392157022</v>
      </c>
      <c r="V10" s="69">
        <f t="shared" si="9"/>
        <v>113820.20408494119</v>
      </c>
      <c r="W10" s="69">
        <f t="shared" si="10"/>
        <v>59536.392083937142</v>
      </c>
      <c r="X10" s="69">
        <f t="shared" si="11"/>
        <v>129605.11775269193</v>
      </c>
      <c r="Y10" s="133">
        <f t="shared" si="12"/>
        <v>371833.80271709681</v>
      </c>
    </row>
    <row r="11" spans="1:25" x14ac:dyDescent="0.25">
      <c r="A11" s="131">
        <v>2029</v>
      </c>
      <c r="B11" s="69">
        <f t="shared" si="0"/>
        <v>403521.16970138589</v>
      </c>
      <c r="C11" s="69">
        <f t="shared" si="13"/>
        <v>183950.24084520413</v>
      </c>
      <c r="D11" s="69">
        <f t="shared" si="1"/>
        <v>71666.354233583857</v>
      </c>
      <c r="E11" s="69">
        <f t="shared" si="2"/>
        <v>35379.778691833882</v>
      </c>
      <c r="F11" s="69">
        <f t="shared" si="2"/>
        <v>76904.107919786387</v>
      </c>
      <c r="G11" s="69">
        <f t="shared" si="2"/>
        <v>219570.9288561818</v>
      </c>
      <c r="H11" s="69">
        <f t="shared" si="3"/>
        <v>269014.11313425726</v>
      </c>
      <c r="I11" s="69">
        <f t="shared" si="4"/>
        <v>122633.49389680274</v>
      </c>
      <c r="J11" s="69">
        <f t="shared" si="5"/>
        <v>47777.569489055903</v>
      </c>
      <c r="K11" s="69">
        <f t="shared" si="5"/>
        <v>23586.519127889256</v>
      </c>
      <c r="L11" s="69">
        <f t="shared" si="5"/>
        <v>51269.405279857587</v>
      </c>
      <c r="M11" s="69">
        <f t="shared" si="5"/>
        <v>146380.61923745455</v>
      </c>
      <c r="N11" s="69">
        <f>'5.1.1 Nakłady B+R'!L4</f>
        <v>44109.043869311281</v>
      </c>
      <c r="O11" s="69">
        <f t="shared" si="6"/>
        <v>15019.129437500491</v>
      </c>
      <c r="P11" s="69">
        <f t="shared" si="14"/>
        <v>1243.8750371145782</v>
      </c>
      <c r="Q11" s="69">
        <f t="shared" si="15"/>
        <v>4274.1663509362634</v>
      </c>
      <c r="R11" s="69">
        <f t="shared" si="16"/>
        <v>9501.0880494496487</v>
      </c>
      <c r="S11" s="69">
        <f t="shared" si="17"/>
        <v>29089.91443181079</v>
      </c>
      <c r="T11" s="69">
        <f t="shared" si="7"/>
        <v>716644.3267049545</v>
      </c>
      <c r="U11" s="69">
        <f t="shared" si="8"/>
        <v>321602.86417950736</v>
      </c>
      <c r="V11" s="69">
        <f t="shared" si="9"/>
        <v>120687.79875975434</v>
      </c>
      <c r="W11" s="69">
        <f t="shared" si="10"/>
        <v>63240.464170659405</v>
      </c>
      <c r="X11" s="69">
        <f t="shared" si="11"/>
        <v>137674.60124909363</v>
      </c>
      <c r="Y11" s="133">
        <f t="shared" si="12"/>
        <v>395041.46252544713</v>
      </c>
    </row>
    <row r="12" spans="1:25" s="47" customFormat="1" x14ac:dyDescent="0.25">
      <c r="A12" s="51" t="s">
        <v>65</v>
      </c>
      <c r="B12" s="52">
        <f>SUM(B2:B11)</f>
        <v>3148147.9922563354</v>
      </c>
      <c r="C12" s="52">
        <f t="shared" ref="C12:G12" si="18">SUM(C2:C11)</f>
        <v>1435123.1728943659</v>
      </c>
      <c r="D12" s="52">
        <f t="shared" si="18"/>
        <v>559118.84216570132</v>
      </c>
      <c r="E12" s="52">
        <f t="shared" si="18"/>
        <v>276022.14609358518</v>
      </c>
      <c r="F12" s="52">
        <f t="shared" si="18"/>
        <v>599982.18463507912</v>
      </c>
      <c r="G12" s="52">
        <f t="shared" si="18"/>
        <v>1713024.8193619698</v>
      </c>
      <c r="H12" s="52">
        <f>SUM(H2:H11)</f>
        <v>2098765.32817089</v>
      </c>
      <c r="I12" s="52">
        <f t="shared" ref="I12:M12" si="19">SUM(I2:I11)</f>
        <v>956748.78192957724</v>
      </c>
      <c r="J12" s="52">
        <f t="shared" si="19"/>
        <v>372745.89477713424</v>
      </c>
      <c r="K12" s="52">
        <f t="shared" si="19"/>
        <v>184014.76406239014</v>
      </c>
      <c r="L12" s="52">
        <f t="shared" si="19"/>
        <v>399988.12309005274</v>
      </c>
      <c r="M12" s="52">
        <f t="shared" si="19"/>
        <v>1142016.5462413132</v>
      </c>
      <c r="N12" s="52">
        <f>SUM(N2:N11)</f>
        <v>298990.30750422738</v>
      </c>
      <c r="O12" s="52">
        <f t="shared" ref="O12:S12" si="20">SUM(O2:O11)</f>
        <v>101806.19970518943</v>
      </c>
      <c r="P12" s="52">
        <f t="shared" si="20"/>
        <v>8431.5266716192127</v>
      </c>
      <c r="Q12" s="52">
        <f t="shared" si="20"/>
        <v>28972.160797159631</v>
      </c>
      <c r="R12" s="52">
        <f t="shared" si="20"/>
        <v>64402.512236410577</v>
      </c>
      <c r="S12" s="52">
        <f t="shared" si="20"/>
        <v>197184.10779903797</v>
      </c>
      <c r="T12" s="52">
        <f>SUM(T2:T11)</f>
        <v>5545903.6279314533</v>
      </c>
      <c r="U12" s="52">
        <f t="shared" ref="U12:Y12" si="21">SUM(U2:U11)</f>
        <v>2493678.1545291324</v>
      </c>
      <c r="V12" s="52">
        <f t="shared" si="21"/>
        <v>940296.26361445477</v>
      </c>
      <c r="W12" s="52">
        <f t="shared" si="21"/>
        <v>489009.07095313497</v>
      </c>
      <c r="X12" s="52">
        <f t="shared" si="21"/>
        <v>1064372.8199615425</v>
      </c>
      <c r="Y12" s="53">
        <f t="shared" si="21"/>
        <v>3052225.4734023204</v>
      </c>
    </row>
    <row r="13" spans="1:25" x14ac:dyDescent="0.25"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x14ac:dyDescent="0.25">
      <c r="A14" s="33" t="s">
        <v>301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</row>
    <row r="16" spans="1:25" x14ac:dyDescent="0.25">
      <c r="A16" s="33" t="s">
        <v>303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1"/>
    </row>
    <row r="18" spans="1:25" x14ac:dyDescent="0.25">
      <c r="A18" s="33" t="s">
        <v>302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zoomScale="90" zoomScaleNormal="90" workbookViewId="0">
      <selection activeCell="E35" sqref="E35"/>
    </sheetView>
  </sheetViews>
  <sheetFormatPr defaultRowHeight="15" x14ac:dyDescent="0.25"/>
  <cols>
    <col min="1" max="1" width="27.140625" customWidth="1"/>
    <col min="2" max="2" width="21.5703125" customWidth="1"/>
    <col min="3" max="3" width="21.7109375" customWidth="1"/>
    <col min="4" max="4" width="18.28515625" customWidth="1"/>
    <col min="5" max="5" width="20.42578125" customWidth="1"/>
    <col min="6" max="6" width="20" customWidth="1"/>
    <col min="7" max="7" width="22.140625" customWidth="1"/>
    <col min="8" max="8" width="20.28515625" customWidth="1"/>
    <col min="9" max="9" width="18.28515625" customWidth="1"/>
    <col min="10" max="10" width="19.42578125" customWidth="1"/>
    <col min="11" max="11" width="14.5703125" customWidth="1"/>
    <col min="12" max="12" width="14.28515625" customWidth="1"/>
    <col min="13" max="13" width="15" customWidth="1"/>
    <col min="14" max="14" width="17.140625" customWidth="1"/>
    <col min="15" max="15" width="17.7109375" customWidth="1"/>
    <col min="16" max="16" width="16.5703125" customWidth="1"/>
    <col min="17" max="17" width="24" customWidth="1"/>
    <col min="18" max="18" width="20.85546875" customWidth="1"/>
    <col min="19" max="19" width="20.5703125" customWidth="1"/>
    <col min="20" max="20" width="23.85546875" customWidth="1"/>
    <col min="21" max="21" width="19.7109375" customWidth="1"/>
    <col min="22" max="22" width="18.42578125" customWidth="1"/>
    <col min="23" max="23" width="22.28515625" customWidth="1"/>
    <col min="24" max="24" width="20.140625" customWidth="1"/>
    <col min="25" max="25" width="21" customWidth="1"/>
    <col min="26" max="26" width="13.85546875" customWidth="1"/>
    <col min="27" max="27" width="14" customWidth="1"/>
    <col min="28" max="28" width="13.28515625" customWidth="1"/>
    <col min="29" max="29" width="11.28515625" customWidth="1"/>
    <col min="30" max="30" width="13.85546875" customWidth="1"/>
    <col min="31" max="31" width="14.42578125" customWidth="1"/>
    <col min="32" max="32" width="13.85546875" customWidth="1"/>
    <col min="33" max="33" width="13.28515625" customWidth="1"/>
  </cols>
  <sheetData>
    <row r="1" spans="1:33" s="59" customFormat="1" ht="34.5" customHeight="1" x14ac:dyDescent="0.25">
      <c r="A1" s="80" t="s">
        <v>24</v>
      </c>
      <c r="B1" s="80" t="s">
        <v>304</v>
      </c>
      <c r="C1" s="80" t="s">
        <v>305</v>
      </c>
      <c r="D1" s="80" t="s">
        <v>306</v>
      </c>
      <c r="E1" s="80" t="s">
        <v>307</v>
      </c>
      <c r="F1" s="80" t="s">
        <v>308</v>
      </c>
      <c r="G1" s="80" t="s">
        <v>309</v>
      </c>
      <c r="H1" s="80" t="s">
        <v>310</v>
      </c>
      <c r="I1" s="80" t="s">
        <v>311</v>
      </c>
      <c r="J1" s="80" t="s">
        <v>312</v>
      </c>
      <c r="K1" s="80" t="s">
        <v>313</v>
      </c>
      <c r="L1" s="80" t="s">
        <v>314</v>
      </c>
      <c r="M1" s="80" t="s">
        <v>315</v>
      </c>
      <c r="N1" s="80" t="s">
        <v>316</v>
      </c>
      <c r="O1" s="80" t="s">
        <v>317</v>
      </c>
      <c r="P1" s="80" t="s">
        <v>318</v>
      </c>
      <c r="Q1" s="80" t="s">
        <v>319</v>
      </c>
      <c r="R1" s="80" t="s">
        <v>320</v>
      </c>
      <c r="S1" s="80" t="s">
        <v>321</v>
      </c>
      <c r="T1" s="80" t="s">
        <v>322</v>
      </c>
      <c r="U1" s="80" t="s">
        <v>323</v>
      </c>
      <c r="V1" s="80" t="s">
        <v>324</v>
      </c>
      <c r="W1" s="83" t="s">
        <v>325</v>
      </c>
      <c r="X1" s="83" t="s">
        <v>326</v>
      </c>
      <c r="Y1" s="83" t="s">
        <v>327</v>
      </c>
      <c r="Z1" s="81" t="s">
        <v>118</v>
      </c>
      <c r="AA1" s="81" t="s">
        <v>120</v>
      </c>
      <c r="AB1" s="81" t="s">
        <v>121</v>
      </c>
      <c r="AC1" s="82" t="s">
        <v>122</v>
      </c>
      <c r="AD1" s="81" t="s">
        <v>124</v>
      </c>
      <c r="AE1" s="81" t="s">
        <v>125</v>
      </c>
      <c r="AF1" s="81" t="s">
        <v>126</v>
      </c>
      <c r="AG1" s="82" t="s">
        <v>127</v>
      </c>
    </row>
    <row r="2" spans="1:33" x14ac:dyDescent="0.25">
      <c r="A2" s="56"/>
      <c r="B2" s="76" t="s">
        <v>66</v>
      </c>
      <c r="C2" s="76" t="s">
        <v>23</v>
      </c>
      <c r="D2" s="76" t="s">
        <v>65</v>
      </c>
      <c r="E2" s="76" t="s">
        <v>66</v>
      </c>
      <c r="F2" s="76" t="s">
        <v>23</v>
      </c>
      <c r="G2" s="76" t="s">
        <v>65</v>
      </c>
      <c r="H2" s="76" t="s">
        <v>66</v>
      </c>
      <c r="I2" s="76" t="s">
        <v>23</v>
      </c>
      <c r="J2" s="76" t="s">
        <v>65</v>
      </c>
      <c r="K2" s="76" t="s">
        <v>66</v>
      </c>
      <c r="L2" s="76" t="s">
        <v>23</v>
      </c>
      <c r="M2" s="76" t="s">
        <v>65</v>
      </c>
      <c r="N2" s="76" t="s">
        <v>66</v>
      </c>
      <c r="O2" s="76" t="s">
        <v>23</v>
      </c>
      <c r="P2" s="76" t="s">
        <v>65</v>
      </c>
      <c r="Q2" s="77" t="s">
        <v>66</v>
      </c>
      <c r="R2" s="77" t="s">
        <v>23</v>
      </c>
      <c r="S2" s="77" t="s">
        <v>65</v>
      </c>
      <c r="T2" s="77" t="s">
        <v>66</v>
      </c>
      <c r="U2" s="77" t="s">
        <v>23</v>
      </c>
      <c r="V2" s="77" t="s">
        <v>65</v>
      </c>
      <c r="W2" s="77" t="s">
        <v>66</v>
      </c>
      <c r="X2" s="77" t="s">
        <v>23</v>
      </c>
      <c r="Y2" s="77" t="s">
        <v>65</v>
      </c>
      <c r="Z2" s="78">
        <v>0.57999999999999996</v>
      </c>
      <c r="AA2" s="78">
        <v>0.16</v>
      </c>
      <c r="AB2" s="78">
        <v>0.2</v>
      </c>
      <c r="AC2" s="78">
        <v>0.06</v>
      </c>
      <c r="AD2" s="78">
        <v>0.57999999999999996</v>
      </c>
      <c r="AE2" s="78">
        <v>0.12</v>
      </c>
      <c r="AF2" s="78">
        <v>0.24</v>
      </c>
      <c r="AG2" s="79">
        <v>0.06</v>
      </c>
    </row>
    <row r="3" spans="1:33" x14ac:dyDescent="0.25">
      <c r="A3" s="72"/>
      <c r="B3" s="57">
        <v>2020</v>
      </c>
      <c r="C3" s="57">
        <v>2020</v>
      </c>
      <c r="D3" s="57">
        <v>2020</v>
      </c>
      <c r="E3" s="57">
        <v>2020</v>
      </c>
      <c r="F3" s="57">
        <v>2020</v>
      </c>
      <c r="G3" s="57">
        <v>2020</v>
      </c>
      <c r="H3" s="57">
        <v>2020</v>
      </c>
      <c r="I3" s="57">
        <v>2020</v>
      </c>
      <c r="J3" s="57">
        <v>2020</v>
      </c>
      <c r="K3" s="57">
        <v>2020</v>
      </c>
      <c r="L3" s="57">
        <v>2020</v>
      </c>
      <c r="M3" s="57">
        <v>2020</v>
      </c>
      <c r="N3" s="57">
        <v>2020</v>
      </c>
      <c r="O3" s="57">
        <v>2020</v>
      </c>
      <c r="P3" s="57">
        <v>2020</v>
      </c>
      <c r="Q3" s="57">
        <v>2020</v>
      </c>
      <c r="R3" s="57">
        <v>2020</v>
      </c>
      <c r="S3" s="57">
        <v>2020</v>
      </c>
      <c r="T3" s="57">
        <v>2020</v>
      </c>
      <c r="U3" s="57">
        <v>2020</v>
      </c>
      <c r="V3" s="57">
        <v>2020</v>
      </c>
      <c r="W3" s="57">
        <v>2020</v>
      </c>
      <c r="X3" s="57">
        <v>2020</v>
      </c>
      <c r="Y3" s="57">
        <v>2020</v>
      </c>
      <c r="Z3" s="57">
        <v>2020</v>
      </c>
      <c r="AA3" s="57">
        <v>2020</v>
      </c>
      <c r="AB3" s="57">
        <v>2020</v>
      </c>
      <c r="AC3" s="57">
        <v>2020</v>
      </c>
      <c r="AD3" s="57">
        <v>2020</v>
      </c>
      <c r="AE3" s="57">
        <v>2020</v>
      </c>
      <c r="AF3" s="57">
        <v>2020</v>
      </c>
      <c r="AG3" s="73">
        <v>2020</v>
      </c>
    </row>
    <row r="4" spans="1:33" ht="15.75" thickBot="1" x14ac:dyDescent="0.3">
      <c r="A4" s="74" t="s">
        <v>101</v>
      </c>
      <c r="B4" s="60">
        <f>'5.1.1 Nakłady_razem'!AM2/1000</f>
        <v>108879.86492225439</v>
      </c>
      <c r="C4" s="60">
        <f>'5.1.1 Nakłady_razem'!AQ2/1000</f>
        <v>129963.69542583442</v>
      </c>
      <c r="D4" s="60">
        <f>SUM(B4:C4)</f>
        <v>238843.56034808879</v>
      </c>
      <c r="E4" s="60">
        <f>B4*40/60</f>
        <v>72586.57661483626</v>
      </c>
      <c r="F4" s="60">
        <f>C4*40/60</f>
        <v>86642.463617222937</v>
      </c>
      <c r="G4" s="60">
        <f>D4*40/60</f>
        <v>159229.0402320592</v>
      </c>
      <c r="H4" s="60">
        <f>SUM(B4,E4)</f>
        <v>181466.44153709064</v>
      </c>
      <c r="I4" s="60">
        <f>C4+F4</f>
        <v>216606.15904305736</v>
      </c>
      <c r="J4" s="61">
        <f>SUM(H4:I4)</f>
        <v>398072.60058014799</v>
      </c>
      <c r="K4" s="62">
        <f>'5.1.1 Nakłady_razem'!BE2/1000</f>
        <v>6196.1345102342411</v>
      </c>
      <c r="L4" s="62">
        <f>'5.1.1 Nakłady_razem'!BI2/1000</f>
        <v>12001.029983845763</v>
      </c>
      <c r="M4" s="62">
        <f>SUM(K4:L4)</f>
        <v>18197.164494080003</v>
      </c>
      <c r="N4" s="63">
        <f>H4+K4</f>
        <v>187662.57604732487</v>
      </c>
      <c r="O4" s="63">
        <f>I4+L4</f>
        <v>228607.18902690313</v>
      </c>
      <c r="P4" s="63">
        <f>SUM(N4:O4)</f>
        <v>416269.76507422799</v>
      </c>
      <c r="Q4" s="65">
        <f>H4*29%</f>
        <v>52625.268045756282</v>
      </c>
      <c r="R4" s="65">
        <f>I4*29%</f>
        <v>62815.786122486628</v>
      </c>
      <c r="S4" s="65">
        <f>SUM(Q4:R4)</f>
        <v>115441.0541682429</v>
      </c>
      <c r="T4" s="75">
        <f>K4*23%</f>
        <v>1425.1109373538754</v>
      </c>
      <c r="U4" s="75">
        <f>L4*23%</f>
        <v>2760.2368962845258</v>
      </c>
      <c r="V4" s="75">
        <f>SUM(T4:U4)</f>
        <v>4185.3478336384014</v>
      </c>
      <c r="W4" s="65">
        <f>SUM(Q4,T4)</f>
        <v>54050.37898311016</v>
      </c>
      <c r="X4" s="65">
        <f>R4+U4</f>
        <v>65576.023018771157</v>
      </c>
      <c r="Y4" s="66">
        <f>SUM(W4:X4)</f>
        <v>119626.40200188132</v>
      </c>
      <c r="Z4" s="67">
        <f t="shared" ref="Z4:Z20" si="0">W4*Z$2</f>
        <v>31349.219810203889</v>
      </c>
      <c r="AA4" s="68">
        <f t="shared" ref="AA4:AA20" si="1">W4*AA$2</f>
        <v>8648.0606372976254</v>
      </c>
      <c r="AB4" s="69">
        <f t="shared" ref="AB4:AB20" si="2">W4*AB$2</f>
        <v>10810.075796622034</v>
      </c>
      <c r="AC4" s="70">
        <f t="shared" ref="AC4:AC20" si="3">W4*AC$2</f>
        <v>3243.0227389866095</v>
      </c>
      <c r="AD4" s="67">
        <f t="shared" ref="AD4:AD20" si="4">X4*AD$2</f>
        <v>38034.093350887269</v>
      </c>
      <c r="AE4" s="68">
        <f t="shared" ref="AE4:AE20" si="5">X4*AE$2</f>
        <v>7869.1227622525385</v>
      </c>
      <c r="AF4" s="69">
        <f t="shared" ref="AF4:AF20" si="6">X4*AF$2</f>
        <v>15738.245524505077</v>
      </c>
      <c r="AG4" s="71">
        <f t="shared" ref="AG4:AG20" si="7">X4*AG$2</f>
        <v>3934.5613811262692</v>
      </c>
    </row>
    <row r="5" spans="1:33" ht="22.5" customHeight="1" thickBot="1" x14ac:dyDescent="0.3">
      <c r="A5" s="74" t="s">
        <v>102</v>
      </c>
      <c r="B5" s="60">
        <f>'5.1.1 Nakłady_razem'!AM3/1000</f>
        <v>8531.4950144631985</v>
      </c>
      <c r="C5" s="60">
        <f>'5.1.1 Nakłady_razem'!AQ3/1000</f>
        <v>10061.002767399999</v>
      </c>
      <c r="D5" s="60">
        <f t="shared" ref="D5:D20" si="8">SUM(B5:C5)</f>
        <v>18592.497781863196</v>
      </c>
      <c r="E5" s="60">
        <f t="shared" ref="E5:E20" si="9">B5*40/60</f>
        <v>5687.6633429754665</v>
      </c>
      <c r="F5" s="60">
        <f t="shared" ref="F5:F20" si="10">C5*40/60</f>
        <v>6707.3351782666668</v>
      </c>
      <c r="G5" s="60">
        <f t="shared" ref="G5:G20" si="11">D5*40/60</f>
        <v>12394.998521242132</v>
      </c>
      <c r="H5" s="60">
        <f t="shared" ref="H5:H20" si="12">SUM(B5,E5)</f>
        <v>14219.158357438664</v>
      </c>
      <c r="I5" s="60">
        <f t="shared" ref="I5:I20" si="13">C5+F5</f>
        <v>16768.337945666666</v>
      </c>
      <c r="J5" s="61">
        <f t="shared" ref="J5:J20" si="14">SUM(H5:I5)</f>
        <v>30987.49630310533</v>
      </c>
      <c r="K5" s="62">
        <f>'5.1.1 Nakłady_razem'!BE3/1000</f>
        <v>513.66693590784007</v>
      </c>
      <c r="L5" s="62">
        <f>'5.1.1 Nakłady_razem'!BI3/1000</f>
        <v>994.89968937216008</v>
      </c>
      <c r="M5" s="62">
        <f t="shared" ref="M5:M20" si="15">SUM(K5:L5)</f>
        <v>1508.5666252800002</v>
      </c>
      <c r="N5" s="63">
        <f t="shared" ref="N5:N20" si="16">H5+K5</f>
        <v>14732.825293346505</v>
      </c>
      <c r="O5" s="63">
        <f t="shared" ref="O5:O20" si="17">I5+L5</f>
        <v>17763.237635038826</v>
      </c>
      <c r="P5" s="63">
        <f t="shared" ref="P5:P19" si="18">SUM(N5:O5)</f>
        <v>32496.06292838533</v>
      </c>
      <c r="Q5" s="64">
        <f t="shared" ref="Q5:Q20" si="19">H5*29%</f>
        <v>4123.5559236572126</v>
      </c>
      <c r="R5" s="65">
        <f t="shared" ref="R5:R20" si="20">I5*29%</f>
        <v>4862.8180042433332</v>
      </c>
      <c r="S5" s="64">
        <f t="shared" ref="S5:S20" si="21">SUM(Q5:R5)</f>
        <v>8986.3739279005458</v>
      </c>
      <c r="T5" s="65">
        <f t="shared" ref="T5:T20" si="22">K5*23%</f>
        <v>118.14339525880322</v>
      </c>
      <c r="U5" s="65">
        <f t="shared" ref="U5:U20" si="23">L5*23%</f>
        <v>228.82692855559682</v>
      </c>
      <c r="V5" s="65">
        <f t="shared" ref="V5:V20" si="24">SUM(T5:U5)</f>
        <v>346.97032381440005</v>
      </c>
      <c r="W5" s="65">
        <f t="shared" ref="W5:W20" si="25">SUM(Q5,T5)</f>
        <v>4241.6993189160157</v>
      </c>
      <c r="X5" s="65">
        <f t="shared" ref="X5:X20" si="26">R5+U5</f>
        <v>5091.6449327989303</v>
      </c>
      <c r="Y5" s="66">
        <f t="shared" ref="Y5:Y20" si="27">SUM(W5:X5)</f>
        <v>9333.3442517149451</v>
      </c>
      <c r="Z5" s="67">
        <f t="shared" si="0"/>
        <v>2460.1856049712887</v>
      </c>
      <c r="AA5" s="68">
        <f t="shared" si="1"/>
        <v>678.67189102656255</v>
      </c>
      <c r="AB5" s="69">
        <f t="shared" si="2"/>
        <v>848.33986378320321</v>
      </c>
      <c r="AC5" s="70">
        <f t="shared" si="3"/>
        <v>254.50195913496094</v>
      </c>
      <c r="AD5" s="67">
        <f t="shared" si="4"/>
        <v>2953.1540610233792</v>
      </c>
      <c r="AE5" s="68">
        <f t="shared" si="5"/>
        <v>610.99739193587163</v>
      </c>
      <c r="AF5" s="69">
        <f t="shared" si="6"/>
        <v>1221.9947838717433</v>
      </c>
      <c r="AG5" s="71">
        <f t="shared" si="7"/>
        <v>305.49869596793582</v>
      </c>
    </row>
    <row r="6" spans="1:33" ht="32.25" customHeight="1" thickBot="1" x14ac:dyDescent="0.3">
      <c r="A6" s="74" t="s">
        <v>103</v>
      </c>
      <c r="B6" s="60">
        <f>'5.1.1 Nakłady_razem'!AM4/1000</f>
        <v>4421.0378138783999</v>
      </c>
      <c r="C6" s="60">
        <f>'5.1.1 Nakłady_razem'!AQ4/1000</f>
        <v>2598.9080379495999</v>
      </c>
      <c r="D6" s="60">
        <f t="shared" si="8"/>
        <v>7019.9458518279998</v>
      </c>
      <c r="E6" s="60">
        <f t="shared" si="9"/>
        <v>2947.3585425855999</v>
      </c>
      <c r="F6" s="60">
        <f t="shared" si="10"/>
        <v>1732.6053586330668</v>
      </c>
      <c r="G6" s="60">
        <f t="shared" si="11"/>
        <v>4679.9639012186663</v>
      </c>
      <c r="H6" s="60">
        <f t="shared" si="12"/>
        <v>7368.3963564639998</v>
      </c>
      <c r="I6" s="60">
        <f t="shared" si="13"/>
        <v>4331.5133965826662</v>
      </c>
      <c r="J6" s="61">
        <f t="shared" si="14"/>
        <v>11699.909753046666</v>
      </c>
      <c r="K6" s="62">
        <f>'5.1.1 Nakłady_razem'!BE4/1000</f>
        <v>272.30592829439996</v>
      </c>
      <c r="L6" s="62">
        <f>'5.1.1 Nakłady_razem'!BI4/1000</f>
        <v>527.41779650559999</v>
      </c>
      <c r="M6" s="62">
        <f t="shared" si="15"/>
        <v>799.7237247999999</v>
      </c>
      <c r="N6" s="63">
        <f t="shared" si="16"/>
        <v>7640.7022847583994</v>
      </c>
      <c r="O6" s="63">
        <f t="shared" si="17"/>
        <v>4858.9311930882659</v>
      </c>
      <c r="P6" s="63">
        <f t="shared" si="18"/>
        <v>12499.633477846666</v>
      </c>
      <c r="Q6" s="64">
        <f t="shared" si="19"/>
        <v>2136.8349433745598</v>
      </c>
      <c r="R6" s="65">
        <f t="shared" si="20"/>
        <v>1256.1388850089731</v>
      </c>
      <c r="S6" s="64">
        <f t="shared" si="21"/>
        <v>3392.9738283835331</v>
      </c>
      <c r="T6" s="65">
        <f t="shared" si="22"/>
        <v>62.630363507711991</v>
      </c>
      <c r="U6" s="65">
        <f t="shared" si="23"/>
        <v>121.306093196288</v>
      </c>
      <c r="V6" s="65">
        <f t="shared" si="24"/>
        <v>183.93645670399999</v>
      </c>
      <c r="W6" s="65">
        <f t="shared" si="25"/>
        <v>2199.4653068822718</v>
      </c>
      <c r="X6" s="65">
        <f t="shared" si="26"/>
        <v>1377.4449782052611</v>
      </c>
      <c r="Y6" s="66">
        <f t="shared" si="27"/>
        <v>3576.9102850875329</v>
      </c>
      <c r="Z6" s="67">
        <f t="shared" si="0"/>
        <v>1275.6898779917176</v>
      </c>
      <c r="AA6" s="68">
        <f t="shared" si="1"/>
        <v>351.91444910116348</v>
      </c>
      <c r="AB6" s="69">
        <f t="shared" si="2"/>
        <v>439.8930613764544</v>
      </c>
      <c r="AC6" s="70">
        <f t="shared" si="3"/>
        <v>131.96791841293631</v>
      </c>
      <c r="AD6" s="67">
        <f t="shared" si="4"/>
        <v>798.91808735905136</v>
      </c>
      <c r="AE6" s="68">
        <f t="shared" si="5"/>
        <v>165.29339738463133</v>
      </c>
      <c r="AF6" s="69">
        <f t="shared" si="6"/>
        <v>330.58679476926267</v>
      </c>
      <c r="AG6" s="71">
        <f t="shared" si="7"/>
        <v>82.646698692315667</v>
      </c>
    </row>
    <row r="7" spans="1:33" ht="25.5" customHeight="1" thickBot="1" x14ac:dyDescent="0.3">
      <c r="A7" s="74" t="s">
        <v>104</v>
      </c>
      <c r="B7" s="60">
        <f>'5.1.1 Nakłady_razem'!AM5/1000</f>
        <v>3180.9603213128003</v>
      </c>
      <c r="C7" s="60">
        <f>'5.1.1 Nakłady_razem'!AQ5/1000</f>
        <v>4148.3019168448</v>
      </c>
      <c r="D7" s="60">
        <f t="shared" si="8"/>
        <v>7329.2622381576002</v>
      </c>
      <c r="E7" s="60">
        <f t="shared" si="9"/>
        <v>2120.6402142085335</v>
      </c>
      <c r="F7" s="60">
        <f t="shared" si="10"/>
        <v>2765.5346112298666</v>
      </c>
      <c r="G7" s="60">
        <f t="shared" si="11"/>
        <v>4886.1748254384001</v>
      </c>
      <c r="H7" s="60">
        <f t="shared" si="12"/>
        <v>5301.6005355213338</v>
      </c>
      <c r="I7" s="60">
        <f t="shared" si="13"/>
        <v>6913.8365280746666</v>
      </c>
      <c r="J7" s="61">
        <f t="shared" si="14"/>
        <v>12215.437063596</v>
      </c>
      <c r="K7" s="62">
        <f>'5.1.1 Nakłady_razem'!BE5/1000</f>
        <v>230.56660845504004</v>
      </c>
      <c r="L7" s="62">
        <f>'5.1.1 Nakłady_razem'!BI5/1000</f>
        <v>446.57467922496005</v>
      </c>
      <c r="M7" s="62">
        <f t="shared" si="15"/>
        <v>677.14128768000012</v>
      </c>
      <c r="N7" s="63">
        <f t="shared" si="16"/>
        <v>5532.1671439763741</v>
      </c>
      <c r="O7" s="63">
        <f t="shared" si="17"/>
        <v>7360.4112072996268</v>
      </c>
      <c r="P7" s="63">
        <f t="shared" si="18"/>
        <v>12892.578351276001</v>
      </c>
      <c r="Q7" s="64">
        <f t="shared" si="19"/>
        <v>1537.4641553011868</v>
      </c>
      <c r="R7" s="65">
        <f t="shared" si="20"/>
        <v>2005.0125931416533</v>
      </c>
      <c r="S7" s="64">
        <f t="shared" si="21"/>
        <v>3542.4767484428403</v>
      </c>
      <c r="T7" s="65">
        <f t="shared" si="22"/>
        <v>53.030319944659212</v>
      </c>
      <c r="U7" s="65">
        <f t="shared" si="23"/>
        <v>102.71217622174082</v>
      </c>
      <c r="V7" s="65">
        <f t="shared" si="24"/>
        <v>155.74249616640003</v>
      </c>
      <c r="W7" s="65">
        <f t="shared" si="25"/>
        <v>1590.4944752458459</v>
      </c>
      <c r="X7" s="65">
        <f t="shared" si="26"/>
        <v>2107.724769363394</v>
      </c>
      <c r="Y7" s="66">
        <f t="shared" si="27"/>
        <v>3698.2192446092399</v>
      </c>
      <c r="Z7" s="67">
        <f t="shared" si="0"/>
        <v>922.48679564259055</v>
      </c>
      <c r="AA7" s="68">
        <f t="shared" si="1"/>
        <v>254.47911603933537</v>
      </c>
      <c r="AB7" s="69">
        <f t="shared" si="2"/>
        <v>318.09889504916919</v>
      </c>
      <c r="AC7" s="70">
        <f t="shared" si="3"/>
        <v>95.429668514750759</v>
      </c>
      <c r="AD7" s="67">
        <f t="shared" si="4"/>
        <v>1222.4803662307684</v>
      </c>
      <c r="AE7" s="68">
        <f t="shared" si="5"/>
        <v>252.92697232360726</v>
      </c>
      <c r="AF7" s="69">
        <f t="shared" si="6"/>
        <v>505.85394464721452</v>
      </c>
      <c r="AG7" s="71">
        <f t="shared" si="7"/>
        <v>126.46348616180363</v>
      </c>
    </row>
    <row r="8" spans="1:33" ht="21" customHeight="1" thickBot="1" x14ac:dyDescent="0.3">
      <c r="A8" s="74" t="s">
        <v>105</v>
      </c>
      <c r="B8" s="60">
        <f>'5.1.1 Nakłady_razem'!AM6/1000</f>
        <v>2095.5475893247999</v>
      </c>
      <c r="C8" s="60">
        <f>'5.1.1 Nakłady_razem'!AQ6/1000</f>
        <v>1416.8448809216002</v>
      </c>
      <c r="D8" s="60">
        <f t="shared" si="8"/>
        <v>3512.3924702464001</v>
      </c>
      <c r="E8" s="60">
        <f t="shared" si="9"/>
        <v>1397.0317262165333</v>
      </c>
      <c r="F8" s="60">
        <f t="shared" si="10"/>
        <v>944.56325394773353</v>
      </c>
      <c r="G8" s="60">
        <f t="shared" si="11"/>
        <v>2341.5949801642664</v>
      </c>
      <c r="H8" s="60">
        <f t="shared" si="12"/>
        <v>3492.579315541333</v>
      </c>
      <c r="I8" s="60">
        <f t="shared" si="13"/>
        <v>2361.4081348693335</v>
      </c>
      <c r="J8" s="61">
        <f t="shared" si="14"/>
        <v>5853.9874504106665</v>
      </c>
      <c r="K8" s="62">
        <f>'5.1.1 Nakłady_razem'!BE6/1000</f>
        <v>134.79377793024</v>
      </c>
      <c r="L8" s="62">
        <f>'5.1.1 Nakłady_razem'!BI6/1000</f>
        <v>261.07634814976001</v>
      </c>
      <c r="M8" s="62">
        <f t="shared" si="15"/>
        <v>395.87012607999998</v>
      </c>
      <c r="N8" s="63">
        <f>H8+K8</f>
        <v>3627.3730934715732</v>
      </c>
      <c r="O8" s="63">
        <f t="shared" si="17"/>
        <v>2622.4844830190937</v>
      </c>
      <c r="P8" s="63">
        <f t="shared" si="18"/>
        <v>6249.8575764906673</v>
      </c>
      <c r="Q8" s="64">
        <f t="shared" si="19"/>
        <v>1012.8480015069865</v>
      </c>
      <c r="R8" s="65">
        <f t="shared" si="20"/>
        <v>684.8083591121067</v>
      </c>
      <c r="S8" s="64">
        <f t="shared" si="21"/>
        <v>1697.6563606190932</v>
      </c>
      <c r="T8" s="65">
        <f t="shared" si="22"/>
        <v>31.002568923955202</v>
      </c>
      <c r="U8" s="65">
        <f t="shared" si="23"/>
        <v>60.047560074444803</v>
      </c>
      <c r="V8" s="65">
        <f t="shared" si="24"/>
        <v>91.050128998399998</v>
      </c>
      <c r="W8" s="65">
        <f t="shared" si="25"/>
        <v>1043.8505704309416</v>
      </c>
      <c r="X8" s="65">
        <f t="shared" si="26"/>
        <v>744.85591918655155</v>
      </c>
      <c r="Y8" s="66">
        <f t="shared" si="27"/>
        <v>1788.7064896174932</v>
      </c>
      <c r="Z8" s="67">
        <f t="shared" si="0"/>
        <v>605.43333084994606</v>
      </c>
      <c r="AA8" s="68">
        <f t="shared" si="1"/>
        <v>167.01609126895067</v>
      </c>
      <c r="AB8" s="69">
        <f t="shared" si="2"/>
        <v>208.77011408618833</v>
      </c>
      <c r="AC8" s="70">
        <f t="shared" si="3"/>
        <v>62.631034225856496</v>
      </c>
      <c r="AD8" s="67">
        <f t="shared" si="4"/>
        <v>432.01643312819988</v>
      </c>
      <c r="AE8" s="68">
        <f t="shared" si="5"/>
        <v>89.382710302386187</v>
      </c>
      <c r="AF8" s="69">
        <f t="shared" si="6"/>
        <v>178.76542060477237</v>
      </c>
      <c r="AG8" s="71">
        <f t="shared" si="7"/>
        <v>44.691355151193093</v>
      </c>
    </row>
    <row r="9" spans="1:33" ht="15.75" thickBot="1" x14ac:dyDescent="0.3">
      <c r="A9" s="74" t="s">
        <v>106</v>
      </c>
      <c r="B9" s="60">
        <f>'5.1.1 Nakłady_razem'!AM7/1000</f>
        <v>4905.3921698599997</v>
      </c>
      <c r="C9" s="60">
        <f>'5.1.1 Nakłady_razem'!AQ7/1000</f>
        <v>9903.031314477601</v>
      </c>
      <c r="D9" s="60">
        <f t="shared" si="8"/>
        <v>14808.4234843376</v>
      </c>
      <c r="E9" s="60">
        <f t="shared" si="9"/>
        <v>3270.2614465733332</v>
      </c>
      <c r="F9" s="60">
        <f t="shared" si="10"/>
        <v>6602.020876318401</v>
      </c>
      <c r="G9" s="60">
        <f t="shared" si="11"/>
        <v>9872.2823228917332</v>
      </c>
      <c r="H9" s="60">
        <f t="shared" si="12"/>
        <v>8175.6536164333329</v>
      </c>
      <c r="I9" s="60">
        <f t="shared" si="13"/>
        <v>16505.052190796003</v>
      </c>
      <c r="J9" s="61">
        <f t="shared" si="14"/>
        <v>24680.705807229337</v>
      </c>
      <c r="K9" s="62">
        <f>'5.1.1 Nakłady_razem'!BE7/1000</f>
        <v>370.29329498303997</v>
      </c>
      <c r="L9" s="62">
        <f>'5.1.1 Nakłady_razem'!BI7/1000</f>
        <v>717.20536869695991</v>
      </c>
      <c r="M9" s="62">
        <f t="shared" si="15"/>
        <v>1087.4986636799999</v>
      </c>
      <c r="N9" s="63">
        <f t="shared" si="16"/>
        <v>8545.946911416373</v>
      </c>
      <c r="O9" s="63">
        <f t="shared" si="17"/>
        <v>17222.257559492962</v>
      </c>
      <c r="P9" s="63">
        <f t="shared" si="18"/>
        <v>25768.204470909335</v>
      </c>
      <c r="Q9" s="64">
        <f t="shared" si="19"/>
        <v>2370.9395487656666</v>
      </c>
      <c r="R9" s="65">
        <f t="shared" si="20"/>
        <v>4786.4651353308409</v>
      </c>
      <c r="S9" s="64">
        <f t="shared" si="21"/>
        <v>7157.4046840965075</v>
      </c>
      <c r="T9" s="65">
        <f t="shared" si="22"/>
        <v>85.167457846099197</v>
      </c>
      <c r="U9" s="65">
        <f t="shared" si="23"/>
        <v>164.9572348003008</v>
      </c>
      <c r="V9" s="65">
        <f t="shared" si="24"/>
        <v>250.12469264639998</v>
      </c>
      <c r="W9" s="65">
        <f t="shared" si="25"/>
        <v>2456.1070066117659</v>
      </c>
      <c r="X9" s="65">
        <f t="shared" si="26"/>
        <v>4951.4223701311421</v>
      </c>
      <c r="Y9" s="66">
        <f t="shared" si="27"/>
        <v>7407.5293767429084</v>
      </c>
      <c r="Z9" s="67">
        <f t="shared" si="0"/>
        <v>1424.5420638348241</v>
      </c>
      <c r="AA9" s="68">
        <f t="shared" si="1"/>
        <v>392.97712105788253</v>
      </c>
      <c r="AB9" s="69">
        <f t="shared" si="2"/>
        <v>491.22140132235319</v>
      </c>
      <c r="AC9" s="70">
        <f t="shared" si="3"/>
        <v>147.36642039670593</v>
      </c>
      <c r="AD9" s="67">
        <f t="shared" si="4"/>
        <v>2871.8249746760621</v>
      </c>
      <c r="AE9" s="68">
        <f t="shared" si="5"/>
        <v>594.17068441573701</v>
      </c>
      <c r="AF9" s="69">
        <f t="shared" si="6"/>
        <v>1188.341368831474</v>
      </c>
      <c r="AG9" s="71">
        <f t="shared" si="7"/>
        <v>297.08534220786851</v>
      </c>
    </row>
    <row r="10" spans="1:33" ht="21" customHeight="1" thickBot="1" x14ac:dyDescent="0.3">
      <c r="A10" s="74" t="s">
        <v>107</v>
      </c>
      <c r="B10" s="60">
        <f>'5.1.1 Nakłady_razem'!AM8/1000</f>
        <v>8161.7004182272003</v>
      </c>
      <c r="C10" s="60">
        <f>'5.1.1 Nakłady_razem'!AQ8/1000</f>
        <v>7937.4396896392009</v>
      </c>
      <c r="D10" s="60">
        <f t="shared" si="8"/>
        <v>16099.140107866402</v>
      </c>
      <c r="E10" s="60">
        <f t="shared" si="9"/>
        <v>5441.1336121514669</v>
      </c>
      <c r="F10" s="60">
        <f t="shared" si="10"/>
        <v>5291.6264597594673</v>
      </c>
      <c r="G10" s="60">
        <f t="shared" si="11"/>
        <v>10732.760071910936</v>
      </c>
      <c r="H10" s="60">
        <f t="shared" si="12"/>
        <v>13602.834030378668</v>
      </c>
      <c r="I10" s="60">
        <f t="shared" si="13"/>
        <v>13229.066149398668</v>
      </c>
      <c r="J10" s="61">
        <f t="shared" si="14"/>
        <v>26831.900179777338</v>
      </c>
      <c r="K10" s="62">
        <f>'5.1.1 Nakłady_razem'!BE8/1000</f>
        <v>504.65353937856003</v>
      </c>
      <c r="L10" s="62">
        <f>'5.1.1 Nakłady_razem'!BI8/1000</f>
        <v>977.44202414144002</v>
      </c>
      <c r="M10" s="62">
        <f t="shared" si="15"/>
        <v>1482.09556352</v>
      </c>
      <c r="N10" s="63">
        <f t="shared" si="16"/>
        <v>14107.487569757228</v>
      </c>
      <c r="O10" s="63">
        <f t="shared" si="17"/>
        <v>14206.508173540107</v>
      </c>
      <c r="P10" s="63">
        <f t="shared" si="18"/>
        <v>28313.995743297335</v>
      </c>
      <c r="Q10" s="64">
        <f t="shared" si="19"/>
        <v>3944.8218688098136</v>
      </c>
      <c r="R10" s="65">
        <f t="shared" si="20"/>
        <v>3836.4291833256134</v>
      </c>
      <c r="S10" s="64">
        <f t="shared" si="21"/>
        <v>7781.251052135427</v>
      </c>
      <c r="T10" s="65">
        <f t="shared" si="22"/>
        <v>116.07031405706881</v>
      </c>
      <c r="U10" s="65">
        <f t="shared" si="23"/>
        <v>224.81166555253122</v>
      </c>
      <c r="V10" s="65">
        <f t="shared" si="24"/>
        <v>340.88197960960002</v>
      </c>
      <c r="W10" s="65">
        <f t="shared" si="25"/>
        <v>4060.8921828668826</v>
      </c>
      <c r="X10" s="65">
        <f t="shared" si="26"/>
        <v>4061.2408488781448</v>
      </c>
      <c r="Y10" s="66">
        <f t="shared" si="27"/>
        <v>8122.1330317450274</v>
      </c>
      <c r="Z10" s="67">
        <f t="shared" si="0"/>
        <v>2355.3174660627919</v>
      </c>
      <c r="AA10" s="68">
        <f t="shared" si="1"/>
        <v>649.74274925870122</v>
      </c>
      <c r="AB10" s="69">
        <f t="shared" si="2"/>
        <v>812.17843657337653</v>
      </c>
      <c r="AC10" s="70">
        <f t="shared" si="3"/>
        <v>243.65353097201296</v>
      </c>
      <c r="AD10" s="67">
        <f t="shared" si="4"/>
        <v>2355.519692349324</v>
      </c>
      <c r="AE10" s="68">
        <f t="shared" si="5"/>
        <v>487.34890186537734</v>
      </c>
      <c r="AF10" s="69">
        <f t="shared" si="6"/>
        <v>974.69780373075469</v>
      </c>
      <c r="AG10" s="71">
        <f t="shared" si="7"/>
        <v>243.67445093268867</v>
      </c>
    </row>
    <row r="11" spans="1:33" ht="21.75" customHeight="1" thickBot="1" x14ac:dyDescent="0.3">
      <c r="A11" s="74" t="s">
        <v>108</v>
      </c>
      <c r="B11" s="60">
        <f>'5.1.1 Nakłady_razem'!AM9/1000</f>
        <v>29749.146404962397</v>
      </c>
      <c r="C11" s="60">
        <f>'5.1.1 Nakłady_razem'!AQ9/1000</f>
        <v>47794.643280144803</v>
      </c>
      <c r="D11" s="60">
        <f t="shared" si="8"/>
        <v>77543.7896851072</v>
      </c>
      <c r="E11" s="60">
        <f t="shared" si="9"/>
        <v>19832.764269974934</v>
      </c>
      <c r="F11" s="60">
        <f t="shared" si="10"/>
        <v>31863.095520096536</v>
      </c>
      <c r="G11" s="60">
        <f t="shared" si="11"/>
        <v>51695.859790071467</v>
      </c>
      <c r="H11" s="60">
        <f t="shared" si="12"/>
        <v>49581.910674937331</v>
      </c>
      <c r="I11" s="60">
        <f t="shared" si="13"/>
        <v>79657.738800241335</v>
      </c>
      <c r="J11" s="61">
        <f t="shared" si="14"/>
        <v>129239.64947517867</v>
      </c>
      <c r="K11" s="62">
        <f>'5.1.1 Nakłady_razem'!BE9/1000</f>
        <v>1400.5740231225602</v>
      </c>
      <c r="L11" s="62">
        <f>'5.1.1 Nakłady_razem'!BI9/1000</f>
        <v>2712.7123883974409</v>
      </c>
      <c r="M11" s="62">
        <f t="shared" si="15"/>
        <v>4113.2864115200009</v>
      </c>
      <c r="N11" s="63">
        <f t="shared" si="16"/>
        <v>50982.484698059889</v>
      </c>
      <c r="O11" s="63">
        <f t="shared" si="17"/>
        <v>82370.451188638777</v>
      </c>
      <c r="P11" s="63">
        <f t="shared" si="18"/>
        <v>133352.93588669866</v>
      </c>
      <c r="Q11" s="64">
        <f t="shared" si="19"/>
        <v>14378.754095731825</v>
      </c>
      <c r="R11" s="65">
        <f t="shared" si="20"/>
        <v>23100.744252069984</v>
      </c>
      <c r="S11" s="64">
        <f t="shared" si="21"/>
        <v>37479.498347801811</v>
      </c>
      <c r="T11" s="65">
        <f t="shared" si="22"/>
        <v>322.13202531818888</v>
      </c>
      <c r="U11" s="65">
        <f t="shared" si="23"/>
        <v>623.92384933141147</v>
      </c>
      <c r="V11" s="65">
        <f t="shared" si="24"/>
        <v>946.05587464960036</v>
      </c>
      <c r="W11" s="65">
        <f t="shared" si="25"/>
        <v>14700.886121050014</v>
      </c>
      <c r="X11" s="65">
        <f t="shared" si="26"/>
        <v>23724.668101401396</v>
      </c>
      <c r="Y11" s="66">
        <f t="shared" si="27"/>
        <v>38425.554222451407</v>
      </c>
      <c r="Z11" s="67">
        <f t="shared" si="0"/>
        <v>8526.5139502090078</v>
      </c>
      <c r="AA11" s="68">
        <f t="shared" si="1"/>
        <v>2352.1417793680025</v>
      </c>
      <c r="AB11" s="69">
        <f t="shared" si="2"/>
        <v>2940.1772242100033</v>
      </c>
      <c r="AC11" s="70">
        <f t="shared" si="3"/>
        <v>882.05316726300089</v>
      </c>
      <c r="AD11" s="67">
        <f t="shared" si="4"/>
        <v>13760.307498812808</v>
      </c>
      <c r="AE11" s="68">
        <f t="shared" si="5"/>
        <v>2846.9601721681674</v>
      </c>
      <c r="AF11" s="69">
        <f t="shared" si="6"/>
        <v>5693.9203443363349</v>
      </c>
      <c r="AG11" s="71">
        <f t="shared" si="7"/>
        <v>1423.4800860840837</v>
      </c>
    </row>
    <row r="12" spans="1:33" ht="21.75" customHeight="1" thickBot="1" x14ac:dyDescent="0.3">
      <c r="A12" s="74" t="s">
        <v>109</v>
      </c>
      <c r="B12" s="60">
        <f>'5.1.1 Nakłady_razem'!AM10/1000</f>
        <v>2210.8472775792002</v>
      </c>
      <c r="C12" s="60">
        <f>'5.1.1 Nakłady_razem'!AQ10/1000</f>
        <v>1299.7588563856</v>
      </c>
      <c r="D12" s="60">
        <f t="shared" si="8"/>
        <v>3510.6061339648004</v>
      </c>
      <c r="E12" s="60">
        <f t="shared" si="9"/>
        <v>1473.8981850528</v>
      </c>
      <c r="F12" s="60">
        <f t="shared" si="10"/>
        <v>866.50590425706662</v>
      </c>
      <c r="G12" s="60">
        <f t="shared" si="11"/>
        <v>2340.4040893098668</v>
      </c>
      <c r="H12" s="60">
        <f t="shared" si="12"/>
        <v>3684.7454626320005</v>
      </c>
      <c r="I12" s="60">
        <f t="shared" si="13"/>
        <v>2166.2647606426667</v>
      </c>
      <c r="J12" s="61">
        <f t="shared" si="14"/>
        <v>5851.0102232746667</v>
      </c>
      <c r="K12" s="62">
        <f>'5.1.1 Nakłady_razem'!BE10/1000</f>
        <v>126.50977228032002</v>
      </c>
      <c r="L12" s="62">
        <f>'5.1.1 Nakłady_razem'!BI10/1000</f>
        <v>245.03140915968004</v>
      </c>
      <c r="M12" s="62">
        <f t="shared" si="15"/>
        <v>371.54118144000006</v>
      </c>
      <c r="N12" s="63">
        <f t="shared" si="16"/>
        <v>3811.2552349123207</v>
      </c>
      <c r="O12" s="63">
        <f t="shared" si="17"/>
        <v>2411.2961698023469</v>
      </c>
      <c r="P12" s="63">
        <f t="shared" si="18"/>
        <v>6222.551404714668</v>
      </c>
      <c r="Q12" s="64">
        <f t="shared" si="19"/>
        <v>1068.57618416328</v>
      </c>
      <c r="R12" s="65">
        <f t="shared" si="20"/>
        <v>628.21678058637326</v>
      </c>
      <c r="S12" s="64">
        <f t="shared" si="21"/>
        <v>1696.7929647496533</v>
      </c>
      <c r="T12" s="65">
        <f t="shared" si="22"/>
        <v>29.097247624473606</v>
      </c>
      <c r="U12" s="65">
        <f t="shared" si="23"/>
        <v>56.357224106726413</v>
      </c>
      <c r="V12" s="65">
        <f t="shared" si="24"/>
        <v>85.454471731200016</v>
      </c>
      <c r="W12" s="65">
        <f t="shared" si="25"/>
        <v>1097.6734317877535</v>
      </c>
      <c r="X12" s="65">
        <f t="shared" si="26"/>
        <v>684.57400469309971</v>
      </c>
      <c r="Y12" s="66">
        <f t="shared" si="27"/>
        <v>1782.2474364808531</v>
      </c>
      <c r="Z12" s="67">
        <f t="shared" si="0"/>
        <v>636.65059043689701</v>
      </c>
      <c r="AA12" s="68">
        <f t="shared" si="1"/>
        <v>175.62774908604058</v>
      </c>
      <c r="AB12" s="69">
        <f t="shared" si="2"/>
        <v>219.53468635755073</v>
      </c>
      <c r="AC12" s="70">
        <f t="shared" si="3"/>
        <v>65.860405907265203</v>
      </c>
      <c r="AD12" s="67">
        <f t="shared" si="4"/>
        <v>397.05292272199779</v>
      </c>
      <c r="AE12" s="68">
        <f t="shared" si="5"/>
        <v>82.148880563171957</v>
      </c>
      <c r="AF12" s="69">
        <f t="shared" si="6"/>
        <v>164.29776112634391</v>
      </c>
      <c r="AG12" s="71">
        <f t="shared" si="7"/>
        <v>41.074440281585979</v>
      </c>
    </row>
    <row r="13" spans="1:33" ht="21.75" customHeight="1" thickBot="1" x14ac:dyDescent="0.3">
      <c r="A13" s="74" t="s">
        <v>110</v>
      </c>
      <c r="B13" s="60">
        <f>'5.1.1 Nakłady_razem'!AM11/1000</f>
        <v>4232.3221125015998</v>
      </c>
      <c r="C13" s="60">
        <f>'5.1.1 Nakłady_razem'!AQ11/1000</f>
        <v>3276.9507213664001</v>
      </c>
      <c r="D13" s="60">
        <f t="shared" si="8"/>
        <v>7509.2728338679999</v>
      </c>
      <c r="E13" s="60">
        <f t="shared" si="9"/>
        <v>2821.5480750010665</v>
      </c>
      <c r="F13" s="60">
        <f t="shared" si="10"/>
        <v>2184.6338142442669</v>
      </c>
      <c r="G13" s="60">
        <f t="shared" si="11"/>
        <v>5006.181889245333</v>
      </c>
      <c r="H13" s="60">
        <f t="shared" si="12"/>
        <v>7053.8701875026663</v>
      </c>
      <c r="I13" s="60">
        <f t="shared" si="13"/>
        <v>5461.5845356106674</v>
      </c>
      <c r="J13" s="61">
        <f t="shared" si="14"/>
        <v>12515.454723113333</v>
      </c>
      <c r="K13" s="62">
        <f>'5.1.1 Nakłady_razem'!BE11/1000</f>
        <v>242.39504367935999</v>
      </c>
      <c r="L13" s="62">
        <f>'5.1.1 Nakłady_razem'!BI11/1000</f>
        <v>469.48467344064005</v>
      </c>
      <c r="M13" s="62">
        <f t="shared" si="15"/>
        <v>711.87971712000001</v>
      </c>
      <c r="N13" s="63">
        <f t="shared" si="16"/>
        <v>7296.2652311820266</v>
      </c>
      <c r="O13" s="63">
        <f t="shared" si="17"/>
        <v>5931.0692090513076</v>
      </c>
      <c r="P13" s="63">
        <f t="shared" si="18"/>
        <v>13227.334440233335</v>
      </c>
      <c r="Q13" s="64">
        <f t="shared" si="19"/>
        <v>2045.6223543757731</v>
      </c>
      <c r="R13" s="65">
        <f t="shared" si="20"/>
        <v>1583.8595153270935</v>
      </c>
      <c r="S13" s="64">
        <f t="shared" si="21"/>
        <v>3629.4818697028668</v>
      </c>
      <c r="T13" s="65">
        <f t="shared" si="22"/>
        <v>55.750860046252797</v>
      </c>
      <c r="U13" s="65">
        <f t="shared" si="23"/>
        <v>107.98147489134722</v>
      </c>
      <c r="V13" s="65">
        <f t="shared" si="24"/>
        <v>163.7323349376</v>
      </c>
      <c r="W13" s="65">
        <f t="shared" si="25"/>
        <v>2101.3732144220257</v>
      </c>
      <c r="X13" s="65">
        <f t="shared" si="26"/>
        <v>1691.8409902184408</v>
      </c>
      <c r="Y13" s="66">
        <f t="shared" si="27"/>
        <v>3793.2142046404665</v>
      </c>
      <c r="Z13" s="67">
        <f t="shared" si="0"/>
        <v>1218.7964643647749</v>
      </c>
      <c r="AA13" s="68">
        <f t="shared" si="1"/>
        <v>336.2197143075241</v>
      </c>
      <c r="AB13" s="69">
        <f t="shared" si="2"/>
        <v>420.27464288440518</v>
      </c>
      <c r="AC13" s="70">
        <f t="shared" si="3"/>
        <v>126.08239286532154</v>
      </c>
      <c r="AD13" s="67">
        <f t="shared" si="4"/>
        <v>981.26777432669553</v>
      </c>
      <c r="AE13" s="68">
        <f t="shared" si="5"/>
        <v>203.02091882621289</v>
      </c>
      <c r="AF13" s="69">
        <f t="shared" si="6"/>
        <v>406.04183765242578</v>
      </c>
      <c r="AG13" s="71">
        <f t="shared" si="7"/>
        <v>101.51045941310645</v>
      </c>
    </row>
    <row r="14" spans="1:33" ht="18" customHeight="1" thickBot="1" x14ac:dyDescent="0.3">
      <c r="A14" s="74" t="s">
        <v>111</v>
      </c>
      <c r="B14" s="60">
        <f>'5.1.1 Nakłady_razem'!AM12/1000</f>
        <v>2077.7499006368002</v>
      </c>
      <c r="C14" s="60">
        <f>'5.1.1 Nakłady_razem'!AQ12/1000</f>
        <v>1510.0364685536001</v>
      </c>
      <c r="D14" s="60">
        <f t="shared" si="8"/>
        <v>3587.7863691904004</v>
      </c>
      <c r="E14" s="60">
        <f t="shared" si="9"/>
        <v>1385.1666004245335</v>
      </c>
      <c r="F14" s="60">
        <f t="shared" si="10"/>
        <v>1006.6909790357334</v>
      </c>
      <c r="G14" s="60">
        <f t="shared" si="11"/>
        <v>2391.8575794602666</v>
      </c>
      <c r="H14" s="60">
        <f t="shared" si="12"/>
        <v>3462.9165010613337</v>
      </c>
      <c r="I14" s="60">
        <f t="shared" si="13"/>
        <v>2516.7274475893337</v>
      </c>
      <c r="J14" s="61">
        <f t="shared" si="14"/>
        <v>5979.6439486506679</v>
      </c>
      <c r="K14" s="62">
        <f>'5.1.1 Nakłady_razem'!BE12/1000</f>
        <v>135.66670356096</v>
      </c>
      <c r="L14" s="62">
        <f>'5.1.1 Nakłady_razem'!BI12/1000</f>
        <v>262.76708075904003</v>
      </c>
      <c r="M14" s="62">
        <f t="shared" si="15"/>
        <v>398.43378432000003</v>
      </c>
      <c r="N14" s="63">
        <f t="shared" si="16"/>
        <v>3598.5832046222936</v>
      </c>
      <c r="O14" s="63">
        <f t="shared" si="17"/>
        <v>2779.4945283483739</v>
      </c>
      <c r="P14" s="63">
        <f t="shared" si="18"/>
        <v>6378.0777329706671</v>
      </c>
      <c r="Q14" s="64">
        <f t="shared" si="19"/>
        <v>1004.2457853077867</v>
      </c>
      <c r="R14" s="65">
        <f t="shared" si="20"/>
        <v>729.85095980090671</v>
      </c>
      <c r="S14" s="64">
        <f t="shared" si="21"/>
        <v>1734.0967451086935</v>
      </c>
      <c r="T14" s="65">
        <f t="shared" si="22"/>
        <v>31.203341819020803</v>
      </c>
      <c r="U14" s="65">
        <f t="shared" si="23"/>
        <v>60.43642857457921</v>
      </c>
      <c r="V14" s="65">
        <f t="shared" si="24"/>
        <v>91.639770393600017</v>
      </c>
      <c r="W14" s="65">
        <f t="shared" si="25"/>
        <v>1035.4491271268075</v>
      </c>
      <c r="X14" s="65">
        <f t="shared" si="26"/>
        <v>790.28738837548588</v>
      </c>
      <c r="Y14" s="66">
        <f t="shared" si="27"/>
        <v>1825.7365155022935</v>
      </c>
      <c r="Z14" s="67">
        <f t="shared" si="0"/>
        <v>600.56049373354836</v>
      </c>
      <c r="AA14" s="68">
        <f t="shared" si="1"/>
        <v>165.67186034028921</v>
      </c>
      <c r="AB14" s="69">
        <f t="shared" si="2"/>
        <v>207.08982542536151</v>
      </c>
      <c r="AC14" s="70">
        <f t="shared" si="3"/>
        <v>62.126947627608452</v>
      </c>
      <c r="AD14" s="67">
        <f t="shared" si="4"/>
        <v>458.3666852577818</v>
      </c>
      <c r="AE14" s="68">
        <f t="shared" si="5"/>
        <v>94.834486605058302</v>
      </c>
      <c r="AF14" s="69">
        <f t="shared" si="6"/>
        <v>189.6689732101166</v>
      </c>
      <c r="AG14" s="71">
        <f t="shared" si="7"/>
        <v>47.417243302529151</v>
      </c>
    </row>
    <row r="15" spans="1:33" ht="23.25" customHeight="1" thickBot="1" x14ac:dyDescent="0.3">
      <c r="A15" s="74" t="s">
        <v>112</v>
      </c>
      <c r="B15" s="60">
        <f>'5.1.1 Nakłady_razem'!AM13/1000</f>
        <v>6709.7899312288</v>
      </c>
      <c r="C15" s="60">
        <f>'5.1.1 Nakłady_razem'!AQ13/1000</f>
        <v>5135.4935175648006</v>
      </c>
      <c r="D15" s="60">
        <f t="shared" si="8"/>
        <v>11845.283448793602</v>
      </c>
      <c r="E15" s="60">
        <f t="shared" si="9"/>
        <v>4473.1932874858667</v>
      </c>
      <c r="F15" s="60">
        <f t="shared" si="10"/>
        <v>3423.6623450432003</v>
      </c>
      <c r="G15" s="60">
        <f t="shared" si="11"/>
        <v>7896.8556325290683</v>
      </c>
      <c r="H15" s="60">
        <f t="shared" si="12"/>
        <v>11182.983218714668</v>
      </c>
      <c r="I15" s="60">
        <f t="shared" si="13"/>
        <v>8559.1558626080005</v>
      </c>
      <c r="J15" s="61">
        <f t="shared" si="14"/>
        <v>19742.139081322668</v>
      </c>
      <c r="K15" s="62">
        <f>'5.1.1 Nakłady_razem'!BE13/1000</f>
        <v>364.85069155392006</v>
      </c>
      <c r="L15" s="62">
        <f>'5.1.1 Nakłady_razem'!BI13/1000</f>
        <v>706.66382108608002</v>
      </c>
      <c r="M15" s="62">
        <f t="shared" si="15"/>
        <v>1071.51451264</v>
      </c>
      <c r="N15" s="63">
        <f t="shared" si="16"/>
        <v>11547.833910268588</v>
      </c>
      <c r="O15" s="63">
        <f t="shared" si="17"/>
        <v>9265.8196836940806</v>
      </c>
      <c r="P15" s="63">
        <f t="shared" si="18"/>
        <v>20813.65359396267</v>
      </c>
      <c r="Q15" s="64">
        <f t="shared" si="19"/>
        <v>3243.0651334272534</v>
      </c>
      <c r="R15" s="65">
        <f t="shared" si="20"/>
        <v>2482.15520015632</v>
      </c>
      <c r="S15" s="64">
        <f t="shared" si="21"/>
        <v>5725.2203335835729</v>
      </c>
      <c r="T15" s="65">
        <f t="shared" si="22"/>
        <v>83.915659057401612</v>
      </c>
      <c r="U15" s="65">
        <f t="shared" si="23"/>
        <v>162.5326788497984</v>
      </c>
      <c r="V15" s="65">
        <f t="shared" si="24"/>
        <v>246.44833790720003</v>
      </c>
      <c r="W15" s="65">
        <f t="shared" si="25"/>
        <v>3326.980792484655</v>
      </c>
      <c r="X15" s="65">
        <f t="shared" si="26"/>
        <v>2644.6878790061182</v>
      </c>
      <c r="Y15" s="66">
        <f t="shared" si="27"/>
        <v>5971.6686714907737</v>
      </c>
      <c r="Z15" s="67">
        <f t="shared" si="0"/>
        <v>1929.6488596410998</v>
      </c>
      <c r="AA15" s="68">
        <f t="shared" si="1"/>
        <v>532.31692679754485</v>
      </c>
      <c r="AB15" s="69">
        <f t="shared" si="2"/>
        <v>665.39615849693109</v>
      </c>
      <c r="AC15" s="70">
        <f t="shared" si="3"/>
        <v>199.61884754907931</v>
      </c>
      <c r="AD15" s="67">
        <f t="shared" si="4"/>
        <v>1533.9189698235484</v>
      </c>
      <c r="AE15" s="68">
        <f t="shared" si="5"/>
        <v>317.36254548073418</v>
      </c>
      <c r="AF15" s="69">
        <f t="shared" si="6"/>
        <v>634.72509096146837</v>
      </c>
      <c r="AG15" s="71">
        <f t="shared" si="7"/>
        <v>158.68127274036709</v>
      </c>
    </row>
    <row r="16" spans="1:33" ht="15.75" thickBot="1" x14ac:dyDescent="0.3">
      <c r="A16" s="74" t="s">
        <v>113</v>
      </c>
      <c r="B16" s="60">
        <f>'5.1.1 Nakłady_razem'!AM14/1000</f>
        <v>12231.1298964816</v>
      </c>
      <c r="C16" s="60">
        <f>'5.1.1 Nakłady_razem'!AQ14/1000</f>
        <v>14962.989733723201</v>
      </c>
      <c r="D16" s="60">
        <f t="shared" si="8"/>
        <v>27194.119630204801</v>
      </c>
      <c r="E16" s="60">
        <f t="shared" si="9"/>
        <v>8154.0865976544001</v>
      </c>
      <c r="F16" s="60">
        <f t="shared" si="10"/>
        <v>9975.3264891488016</v>
      </c>
      <c r="G16" s="60">
        <f t="shared" si="11"/>
        <v>18129.413086803201</v>
      </c>
      <c r="H16" s="60">
        <f t="shared" si="12"/>
        <v>20385.216494135999</v>
      </c>
      <c r="I16" s="60">
        <f t="shared" si="13"/>
        <v>24938.316222872003</v>
      </c>
      <c r="J16" s="61">
        <f t="shared" si="14"/>
        <v>45323.532717007998</v>
      </c>
      <c r="K16" s="62">
        <f>'5.1.1 Nakłady_razem'!BE14/1000</f>
        <v>761.45478524544012</v>
      </c>
      <c r="L16" s="62">
        <f>'5.1.1 Nakłady_razem'!BI14/1000</f>
        <v>1474.8294592345601</v>
      </c>
      <c r="M16" s="62">
        <f t="shared" si="15"/>
        <v>2236.2842444800003</v>
      </c>
      <c r="N16" s="63">
        <f t="shared" si="16"/>
        <v>21146.67127938144</v>
      </c>
      <c r="O16" s="63">
        <f t="shared" si="17"/>
        <v>26413.145682106562</v>
      </c>
      <c r="P16" s="63">
        <f t="shared" si="18"/>
        <v>47559.816961488003</v>
      </c>
      <c r="Q16" s="64">
        <f t="shared" si="19"/>
        <v>5911.7127832994393</v>
      </c>
      <c r="R16" s="65">
        <f t="shared" si="20"/>
        <v>7232.11170463288</v>
      </c>
      <c r="S16" s="64">
        <f t="shared" si="21"/>
        <v>13143.824487932319</v>
      </c>
      <c r="T16" s="65">
        <f t="shared" si="22"/>
        <v>175.13460060645124</v>
      </c>
      <c r="U16" s="65">
        <f t="shared" si="23"/>
        <v>339.21077562394885</v>
      </c>
      <c r="V16" s="65">
        <f t="shared" si="24"/>
        <v>514.34537623040012</v>
      </c>
      <c r="W16" s="65">
        <f t="shared" si="25"/>
        <v>6086.8473839058906</v>
      </c>
      <c r="X16" s="65">
        <f t="shared" si="26"/>
        <v>7571.3224802568293</v>
      </c>
      <c r="Y16" s="66">
        <f t="shared" si="27"/>
        <v>13658.169864162719</v>
      </c>
      <c r="Z16" s="67">
        <f t="shared" si="0"/>
        <v>3530.3714826654164</v>
      </c>
      <c r="AA16" s="68">
        <f t="shared" si="1"/>
        <v>973.89558142494252</v>
      </c>
      <c r="AB16" s="69">
        <f t="shared" si="2"/>
        <v>1217.3694767811783</v>
      </c>
      <c r="AC16" s="70">
        <f t="shared" si="3"/>
        <v>365.21084303435345</v>
      </c>
      <c r="AD16" s="67">
        <f t="shared" si="4"/>
        <v>4391.3670385489604</v>
      </c>
      <c r="AE16" s="68">
        <f t="shared" si="5"/>
        <v>908.55869763081944</v>
      </c>
      <c r="AF16" s="69">
        <f t="shared" si="6"/>
        <v>1817.1173952616389</v>
      </c>
      <c r="AG16" s="71">
        <f t="shared" si="7"/>
        <v>454.27934881540972</v>
      </c>
    </row>
    <row r="17" spans="1:33" ht="22.5" customHeight="1" thickBot="1" x14ac:dyDescent="0.3">
      <c r="A17" s="74" t="s">
        <v>114</v>
      </c>
      <c r="B17" s="60">
        <f>'5.1.1 Nakłady_razem'!AM15/1000</f>
        <v>1961.6030161312001</v>
      </c>
      <c r="C17" s="60">
        <f>'5.1.1 Nakłady_razem'!AQ15/1000</f>
        <v>1345.7241785727999</v>
      </c>
      <c r="D17" s="60">
        <f t="shared" si="8"/>
        <v>3307.3271947040002</v>
      </c>
      <c r="E17" s="60">
        <f t="shared" si="9"/>
        <v>1307.735344087467</v>
      </c>
      <c r="F17" s="60">
        <f t="shared" si="10"/>
        <v>897.14945238186669</v>
      </c>
      <c r="G17" s="60">
        <f t="shared" si="11"/>
        <v>2204.8847964693337</v>
      </c>
      <c r="H17" s="60">
        <f t="shared" si="12"/>
        <v>3269.3383602186668</v>
      </c>
      <c r="I17" s="60">
        <f t="shared" si="13"/>
        <v>2242.8736309546666</v>
      </c>
      <c r="J17" s="61">
        <f t="shared" si="14"/>
        <v>5512.2119911733334</v>
      </c>
      <c r="K17" s="62">
        <f>'5.1.1 Nakłady_razem'!BE15/1000</f>
        <v>144.86464477056003</v>
      </c>
      <c r="L17" s="62">
        <f>'5.1.1 Nakłady_razem'!BI15/1000</f>
        <v>280.58218274943999</v>
      </c>
      <c r="M17" s="62">
        <f t="shared" si="15"/>
        <v>425.44682752000006</v>
      </c>
      <c r="N17" s="63">
        <f t="shared" si="16"/>
        <v>3414.2030049892269</v>
      </c>
      <c r="O17" s="63">
        <f t="shared" si="17"/>
        <v>2523.4558137041067</v>
      </c>
      <c r="P17" s="63">
        <f t="shared" si="18"/>
        <v>5937.6588186933332</v>
      </c>
      <c r="Q17" s="64">
        <f t="shared" si="19"/>
        <v>948.10812446341333</v>
      </c>
      <c r="R17" s="65">
        <f t="shared" si="20"/>
        <v>650.43335297685326</v>
      </c>
      <c r="S17" s="64">
        <f t="shared" si="21"/>
        <v>1598.5414774402666</v>
      </c>
      <c r="T17" s="65">
        <f t="shared" si="22"/>
        <v>33.318868297228811</v>
      </c>
      <c r="U17" s="65">
        <f t="shared" si="23"/>
        <v>64.533902032371202</v>
      </c>
      <c r="V17" s="65">
        <f t="shared" si="24"/>
        <v>97.85277032960002</v>
      </c>
      <c r="W17" s="65">
        <f t="shared" si="25"/>
        <v>981.42699276064218</v>
      </c>
      <c r="X17" s="65">
        <f t="shared" si="26"/>
        <v>714.96725500922446</v>
      </c>
      <c r="Y17" s="66">
        <f t="shared" si="27"/>
        <v>1696.3942477698665</v>
      </c>
      <c r="Z17" s="67">
        <f t="shared" si="0"/>
        <v>569.22765580117243</v>
      </c>
      <c r="AA17" s="68">
        <f t="shared" si="1"/>
        <v>157.02831884170274</v>
      </c>
      <c r="AB17" s="69">
        <f t="shared" si="2"/>
        <v>196.28539855212844</v>
      </c>
      <c r="AC17" s="70">
        <f t="shared" si="3"/>
        <v>58.885619565638528</v>
      </c>
      <c r="AD17" s="67">
        <f t="shared" si="4"/>
        <v>414.68100790535016</v>
      </c>
      <c r="AE17" s="68">
        <f t="shared" si="5"/>
        <v>85.796070601106933</v>
      </c>
      <c r="AF17" s="69">
        <f t="shared" si="6"/>
        <v>171.59214120221387</v>
      </c>
      <c r="AG17" s="71">
        <f t="shared" si="7"/>
        <v>42.898035300553467</v>
      </c>
    </row>
    <row r="18" spans="1:33" ht="28.5" customHeight="1" thickBot="1" x14ac:dyDescent="0.3">
      <c r="A18" s="74" t="s">
        <v>115</v>
      </c>
      <c r="B18" s="60">
        <f>'5.1.1 Nakłady_razem'!AM16/1000</f>
        <v>2358.0394169592</v>
      </c>
      <c r="C18" s="60">
        <f>'5.1.1 Nakłady_razem'!AQ16/1000</f>
        <v>2302.3171084887999</v>
      </c>
      <c r="D18" s="60">
        <f t="shared" si="8"/>
        <v>4660.356525448</v>
      </c>
      <c r="E18" s="60">
        <f t="shared" si="9"/>
        <v>1572.0262779728</v>
      </c>
      <c r="F18" s="60">
        <f t="shared" si="10"/>
        <v>1534.8780723258667</v>
      </c>
      <c r="G18" s="60">
        <f t="shared" si="11"/>
        <v>3106.9043502986665</v>
      </c>
      <c r="H18" s="60">
        <f t="shared" si="12"/>
        <v>3930.065694932</v>
      </c>
      <c r="I18" s="60">
        <f t="shared" si="13"/>
        <v>3837.1951808146669</v>
      </c>
      <c r="J18" s="61">
        <f t="shared" si="14"/>
        <v>7767.2608757466669</v>
      </c>
      <c r="K18" s="62">
        <f>'5.1.1 Nakłady_razem'!BE16/1000</f>
        <v>158.66155658495998</v>
      </c>
      <c r="L18" s="62">
        <f>'5.1.1 Nakłady_razem'!BI16/1000</f>
        <v>307.30483573504</v>
      </c>
      <c r="M18" s="62">
        <f t="shared" si="15"/>
        <v>465.96639231999995</v>
      </c>
      <c r="N18" s="63">
        <f t="shared" si="16"/>
        <v>4088.7272515169602</v>
      </c>
      <c r="O18" s="63">
        <f t="shared" si="17"/>
        <v>4144.5000165497067</v>
      </c>
      <c r="P18" s="63">
        <f t="shared" si="18"/>
        <v>8233.2272680666665</v>
      </c>
      <c r="Q18" s="64">
        <f t="shared" si="19"/>
        <v>1139.71905153028</v>
      </c>
      <c r="R18" s="65">
        <f t="shared" si="20"/>
        <v>1112.7866024362534</v>
      </c>
      <c r="S18" s="64">
        <f t="shared" si="21"/>
        <v>2252.5056539665334</v>
      </c>
      <c r="T18" s="65">
        <f t="shared" si="22"/>
        <v>36.492158014540799</v>
      </c>
      <c r="U18" s="65">
        <f t="shared" si="23"/>
        <v>70.680112219059197</v>
      </c>
      <c r="V18" s="65">
        <f t="shared" si="24"/>
        <v>107.17227023359999</v>
      </c>
      <c r="W18" s="65">
        <f t="shared" si="25"/>
        <v>1176.2112095448208</v>
      </c>
      <c r="X18" s="65">
        <f t="shared" si="26"/>
        <v>1183.4667146553124</v>
      </c>
      <c r="Y18" s="66">
        <f t="shared" si="27"/>
        <v>2359.677924200133</v>
      </c>
      <c r="Z18" s="67">
        <f t="shared" si="0"/>
        <v>682.20250153599602</v>
      </c>
      <c r="AA18" s="68">
        <f t="shared" si="1"/>
        <v>188.19379352717132</v>
      </c>
      <c r="AB18" s="69">
        <f t="shared" si="2"/>
        <v>235.24224190896416</v>
      </c>
      <c r="AC18" s="70">
        <f t="shared" si="3"/>
        <v>70.572672572689243</v>
      </c>
      <c r="AD18" s="67">
        <f t="shared" si="4"/>
        <v>686.41069450008115</v>
      </c>
      <c r="AE18" s="68">
        <f t="shared" si="5"/>
        <v>142.01600575863748</v>
      </c>
      <c r="AF18" s="69">
        <f t="shared" si="6"/>
        <v>284.03201151727495</v>
      </c>
      <c r="AG18" s="71">
        <f t="shared" si="7"/>
        <v>71.008002879318738</v>
      </c>
    </row>
    <row r="19" spans="1:33" ht="25.5" customHeight="1" thickBot="1" x14ac:dyDescent="0.3">
      <c r="A19" s="74" t="s">
        <v>116</v>
      </c>
      <c r="B19" s="60">
        <f>'5.1.1 Nakłady_razem'!AM17/1000</f>
        <v>11322.6279413624</v>
      </c>
      <c r="C19" s="60">
        <f>'5.1.1 Nakłady_razem'!AQ17/1000</f>
        <v>14121.593602594399</v>
      </c>
      <c r="D19" s="60">
        <f t="shared" si="8"/>
        <v>25444.221543956799</v>
      </c>
      <c r="E19" s="60">
        <f t="shared" si="9"/>
        <v>7548.4186275749335</v>
      </c>
      <c r="F19" s="60">
        <f t="shared" si="10"/>
        <v>9414.3957350629316</v>
      </c>
      <c r="G19" s="60">
        <f t="shared" si="11"/>
        <v>16962.814362637866</v>
      </c>
      <c r="H19" s="60">
        <f t="shared" si="12"/>
        <v>18871.046568937334</v>
      </c>
      <c r="I19" s="60">
        <f t="shared" si="13"/>
        <v>23535.989337657331</v>
      </c>
      <c r="J19" s="61">
        <f t="shared" si="14"/>
        <v>42407.035906594669</v>
      </c>
      <c r="K19" s="62">
        <f>'5.1.1 Nakłady_razem'!BE17/1000</f>
        <v>606.89715083711997</v>
      </c>
      <c r="L19" s="62">
        <f>'5.1.1 Nakłady_razem'!BI17/1000</f>
        <v>1175.4733362028801</v>
      </c>
      <c r="M19" s="62">
        <f t="shared" si="15"/>
        <v>1782.3704870400002</v>
      </c>
      <c r="N19" s="63">
        <f t="shared" si="16"/>
        <v>19477.943719774456</v>
      </c>
      <c r="O19" s="63">
        <f t="shared" si="17"/>
        <v>24711.462673860209</v>
      </c>
      <c r="P19" s="63">
        <f t="shared" si="18"/>
        <v>44189.406393634665</v>
      </c>
      <c r="Q19" s="64">
        <f t="shared" si="19"/>
        <v>5472.6035049918264</v>
      </c>
      <c r="R19" s="65">
        <f t="shared" si="20"/>
        <v>6825.4369079206253</v>
      </c>
      <c r="S19" s="64">
        <f t="shared" si="21"/>
        <v>12298.040412912451</v>
      </c>
      <c r="T19" s="65">
        <f t="shared" si="22"/>
        <v>139.58634469253761</v>
      </c>
      <c r="U19" s="65">
        <f t="shared" si="23"/>
        <v>270.35886732666245</v>
      </c>
      <c r="V19" s="65">
        <f t="shared" si="24"/>
        <v>409.94521201920008</v>
      </c>
      <c r="W19" s="65">
        <f t="shared" si="25"/>
        <v>5612.1898496843642</v>
      </c>
      <c r="X19" s="65">
        <f t="shared" si="26"/>
        <v>7095.7957752472876</v>
      </c>
      <c r="Y19" s="66">
        <f t="shared" si="27"/>
        <v>12707.985624931651</v>
      </c>
      <c r="Z19" s="67">
        <f t="shared" si="0"/>
        <v>3255.0701128169312</v>
      </c>
      <c r="AA19" s="68">
        <f t="shared" si="1"/>
        <v>897.95037594949827</v>
      </c>
      <c r="AB19" s="69">
        <f t="shared" si="2"/>
        <v>1122.4379699368728</v>
      </c>
      <c r="AC19" s="70">
        <f t="shared" si="3"/>
        <v>336.73139098106185</v>
      </c>
      <c r="AD19" s="67">
        <f t="shared" si="4"/>
        <v>4115.5615496434266</v>
      </c>
      <c r="AE19" s="68">
        <f t="shared" si="5"/>
        <v>851.49549302967444</v>
      </c>
      <c r="AF19" s="69">
        <f t="shared" si="6"/>
        <v>1702.9909860593489</v>
      </c>
      <c r="AG19" s="71">
        <f t="shared" si="7"/>
        <v>425.74774651483722</v>
      </c>
    </row>
    <row r="20" spans="1:33" ht="32.25" customHeight="1" thickBot="1" x14ac:dyDescent="0.3">
      <c r="A20" s="74" t="s">
        <v>117</v>
      </c>
      <c r="B20" s="60">
        <f>'5.1.1 Nakłady_razem'!AM18/1000</f>
        <v>4730.4756973448002</v>
      </c>
      <c r="C20" s="60">
        <f>'5.1.1 Nakłady_razem'!AQ18/1000</f>
        <v>2148.6593512072</v>
      </c>
      <c r="D20" s="60">
        <f t="shared" si="8"/>
        <v>6879.1350485519997</v>
      </c>
      <c r="E20" s="60">
        <f t="shared" si="9"/>
        <v>3153.6504648965338</v>
      </c>
      <c r="F20" s="60">
        <f t="shared" si="10"/>
        <v>1432.4395674714665</v>
      </c>
      <c r="G20" s="60">
        <f t="shared" si="11"/>
        <v>4586.0900323679998</v>
      </c>
      <c r="H20" s="60">
        <f t="shared" si="12"/>
        <v>7884.126162241334</v>
      </c>
      <c r="I20" s="60">
        <f t="shared" si="13"/>
        <v>3581.0989186786665</v>
      </c>
      <c r="J20" s="61">
        <f t="shared" si="14"/>
        <v>11465.225080920001</v>
      </c>
      <c r="K20" s="62">
        <f>'5.1.1 Nakłady_razem'!BE18/1000</f>
        <v>227.98005364992005</v>
      </c>
      <c r="L20" s="62">
        <f>'5.1.1 Nakłady_razem'!BI18/1000</f>
        <v>441.56489099008007</v>
      </c>
      <c r="M20" s="62">
        <f t="shared" si="15"/>
        <v>669.54494464000015</v>
      </c>
      <c r="N20" s="63">
        <f t="shared" si="16"/>
        <v>8112.1062158912537</v>
      </c>
      <c r="O20" s="63">
        <f t="shared" si="17"/>
        <v>4022.6638096687466</v>
      </c>
      <c r="P20" s="63">
        <f>SUM(N20:O20)</f>
        <v>12134.770025559999</v>
      </c>
      <c r="Q20" s="64">
        <f t="shared" si="19"/>
        <v>2286.3965870499869</v>
      </c>
      <c r="R20" s="65">
        <f t="shared" si="20"/>
        <v>1038.5186864168131</v>
      </c>
      <c r="S20" s="64">
        <f t="shared" si="21"/>
        <v>3324.9152734668</v>
      </c>
      <c r="T20" s="65">
        <f t="shared" si="22"/>
        <v>52.435412339481616</v>
      </c>
      <c r="U20" s="65">
        <f t="shared" si="23"/>
        <v>101.55992492771843</v>
      </c>
      <c r="V20" s="65">
        <f t="shared" si="24"/>
        <v>153.99533726720006</v>
      </c>
      <c r="W20" s="65">
        <f t="shared" si="25"/>
        <v>2338.8319993894684</v>
      </c>
      <c r="X20" s="65">
        <f t="shared" si="26"/>
        <v>1140.0786113445315</v>
      </c>
      <c r="Y20" s="66">
        <f t="shared" si="27"/>
        <v>3478.9106107339999</v>
      </c>
      <c r="Z20" s="67">
        <f t="shared" si="0"/>
        <v>1356.5225596458915</v>
      </c>
      <c r="AA20" s="68">
        <f t="shared" si="1"/>
        <v>374.21311990231493</v>
      </c>
      <c r="AB20" s="69">
        <f t="shared" si="2"/>
        <v>467.76639987789372</v>
      </c>
      <c r="AC20" s="70">
        <f t="shared" si="3"/>
        <v>140.3299199633681</v>
      </c>
      <c r="AD20" s="67">
        <f t="shared" si="4"/>
        <v>661.24559457982821</v>
      </c>
      <c r="AE20" s="68">
        <f t="shared" si="5"/>
        <v>136.80943336134376</v>
      </c>
      <c r="AF20" s="69">
        <f t="shared" si="6"/>
        <v>273.61886672268753</v>
      </c>
      <c r="AG20" s="71">
        <f t="shared" si="7"/>
        <v>68.404716680671882</v>
      </c>
    </row>
    <row r="22" spans="1:33" x14ac:dyDescent="0.25">
      <c r="A22" s="33" t="s">
        <v>328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1"/>
    </row>
    <row r="23" spans="1:33" x14ac:dyDescent="0.25">
      <c r="W23" s="21"/>
      <c r="X23" s="21"/>
      <c r="Y23" s="22"/>
    </row>
    <row r="24" spans="1:33" x14ac:dyDescent="0.25">
      <c r="A24" s="33" t="s">
        <v>329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1"/>
    </row>
    <row r="26" spans="1:33" x14ac:dyDescent="0.25">
      <c r="A26" s="33" t="s">
        <v>330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1"/>
    </row>
    <row r="28" spans="1:33" x14ac:dyDescent="0.25">
      <c r="A28" s="33" t="s">
        <v>331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zoomScale="90" zoomScaleNormal="90" workbookViewId="0"/>
  </sheetViews>
  <sheetFormatPr defaultRowHeight="15" x14ac:dyDescent="0.25"/>
  <cols>
    <col min="1" max="1" width="17" customWidth="1"/>
    <col min="2" max="4" width="12" customWidth="1"/>
    <col min="5" max="5" width="11.7109375" customWidth="1"/>
    <col min="6" max="7" width="19.42578125" customWidth="1"/>
    <col min="8" max="8" width="15.140625" customWidth="1"/>
    <col min="9" max="9" width="20.140625" customWidth="1"/>
    <col min="10" max="11" width="12" customWidth="1"/>
    <col min="12" max="12" width="18.5703125" customWidth="1"/>
    <col min="13" max="13" width="14.5703125" customWidth="1"/>
    <col min="14" max="14" width="15.7109375" customWidth="1"/>
    <col min="15" max="15" width="22.7109375" customWidth="1"/>
    <col min="16" max="17" width="13.85546875" customWidth="1"/>
    <col min="18" max="18" width="13.140625" customWidth="1"/>
    <col min="19" max="19" width="21.140625" customWidth="1"/>
    <col min="20" max="20" width="15.42578125" customWidth="1"/>
    <col min="21" max="21" width="15.85546875" customWidth="1"/>
    <col min="22" max="22" width="18.42578125" customWidth="1"/>
    <col min="23" max="23" width="13" customWidth="1"/>
    <col min="24" max="24" width="14" customWidth="1"/>
  </cols>
  <sheetData>
    <row r="1" spans="1:26" s="55" customFormat="1" ht="39" thickBot="1" x14ac:dyDescent="0.3">
      <c r="A1" s="58" t="s">
        <v>128</v>
      </c>
      <c r="B1" s="58" t="s">
        <v>123</v>
      </c>
      <c r="C1" s="58" t="s">
        <v>350</v>
      </c>
      <c r="D1" s="58" t="s">
        <v>351</v>
      </c>
      <c r="E1" s="58" t="s">
        <v>132</v>
      </c>
      <c r="F1" s="58" t="s">
        <v>352</v>
      </c>
      <c r="G1" s="58" t="s">
        <v>353</v>
      </c>
      <c r="H1" s="58" t="s">
        <v>354</v>
      </c>
      <c r="I1" s="58" t="s">
        <v>129</v>
      </c>
      <c r="J1" s="58" t="s">
        <v>355</v>
      </c>
      <c r="K1" s="58" t="s">
        <v>356</v>
      </c>
      <c r="L1" s="58" t="s">
        <v>130</v>
      </c>
      <c r="M1" s="58" t="s">
        <v>357</v>
      </c>
      <c r="N1" s="58" t="s">
        <v>358</v>
      </c>
      <c r="O1" s="150" t="s">
        <v>131</v>
      </c>
      <c r="P1" s="150" t="s">
        <v>359</v>
      </c>
      <c r="Q1" s="150" t="s">
        <v>360</v>
      </c>
      <c r="R1" s="150" t="s">
        <v>143</v>
      </c>
      <c r="S1" s="58" t="s">
        <v>361</v>
      </c>
      <c r="T1" s="58" t="s">
        <v>362</v>
      </c>
      <c r="U1" s="58" t="s">
        <v>363</v>
      </c>
      <c r="V1" s="58" t="s">
        <v>119</v>
      </c>
      <c r="W1" s="58" t="s">
        <v>364</v>
      </c>
      <c r="X1" s="58" t="s">
        <v>365</v>
      </c>
    </row>
    <row r="2" spans="1:26" ht="16.5" thickTop="1" thickBot="1" x14ac:dyDescent="0.3">
      <c r="A2" s="151" t="s">
        <v>128</v>
      </c>
      <c r="B2" s="152" t="s">
        <v>66</v>
      </c>
      <c r="C2" s="152" t="s">
        <v>23</v>
      </c>
      <c r="D2" s="152" t="s">
        <v>65</v>
      </c>
      <c r="E2" s="152"/>
      <c r="F2" s="152" t="s">
        <v>66</v>
      </c>
      <c r="G2" s="152" t="s">
        <v>23</v>
      </c>
      <c r="H2" s="152" t="s">
        <v>65</v>
      </c>
      <c r="I2" s="152" t="s">
        <v>66</v>
      </c>
      <c r="J2" s="152" t="s">
        <v>23</v>
      </c>
      <c r="K2" s="152" t="s">
        <v>65</v>
      </c>
      <c r="L2" s="152" t="s">
        <v>66</v>
      </c>
      <c r="M2" s="152" t="s">
        <v>23</v>
      </c>
      <c r="N2" s="152" t="s">
        <v>65</v>
      </c>
      <c r="O2" s="152" t="s">
        <v>66</v>
      </c>
      <c r="P2" s="152" t="s">
        <v>23</v>
      </c>
      <c r="Q2" s="152" t="s">
        <v>65</v>
      </c>
      <c r="R2" s="152"/>
      <c r="S2" s="152" t="s">
        <v>66</v>
      </c>
      <c r="T2" s="152" t="s">
        <v>23</v>
      </c>
      <c r="U2" s="152" t="s">
        <v>65</v>
      </c>
      <c r="V2" s="152" t="s">
        <v>66</v>
      </c>
      <c r="W2" s="152" t="s">
        <v>23</v>
      </c>
      <c r="X2" s="152" t="s">
        <v>65</v>
      </c>
      <c r="Z2" s="23"/>
    </row>
    <row r="3" spans="1:26" ht="16.5" thickTop="1" thickBot="1" x14ac:dyDescent="0.3">
      <c r="A3" s="74">
        <v>2020</v>
      </c>
      <c r="B3" s="60">
        <f>'5.1.1 Nakłady lata'!O2</f>
        <v>6196.1345102342411</v>
      </c>
      <c r="C3" s="60">
        <f>'5.1.1 Nakłady lata'!S2</f>
        <v>12001.029983845763</v>
      </c>
      <c r="D3" s="60">
        <f>SUM(B3:C3)</f>
        <v>18197.164494080003</v>
      </c>
      <c r="E3" s="153">
        <v>0.23</v>
      </c>
      <c r="F3" s="60">
        <f>B3*E3</f>
        <v>1425.1109373538754</v>
      </c>
      <c r="G3" s="60">
        <f>C3*E3</f>
        <v>2760.2368962845258</v>
      </c>
      <c r="H3" s="60">
        <f>SUM(F3:G3)</f>
        <v>4185.3478336384014</v>
      </c>
      <c r="I3" s="154">
        <f>'5.1.1 Nakłady lata'!I2</f>
        <v>72586.57661483626</v>
      </c>
      <c r="J3" s="155">
        <f>'5.1.1 Nakłady lata'!M2</f>
        <v>86642.463617222937</v>
      </c>
      <c r="K3" s="155">
        <f>SUM(I3:J3)</f>
        <v>159229.0402320592</v>
      </c>
      <c r="L3" s="154">
        <f>'5.1.1 Nakłady lata'!C2</f>
        <v>108879.86492225439</v>
      </c>
      <c r="M3" s="155">
        <f>'5.1.1 Nakłady lata'!G2</f>
        <v>129963.69542583442</v>
      </c>
      <c r="N3" s="155">
        <f>SUM(L3:M3)</f>
        <v>238843.56034808879</v>
      </c>
      <c r="O3" s="154">
        <f>I3+L3</f>
        <v>181466.44153709064</v>
      </c>
      <c r="P3" s="155">
        <f>J3+M3</f>
        <v>216606.15904305736</v>
      </c>
      <c r="Q3" s="155">
        <f>SUM(O3:P3)</f>
        <v>398072.60058014799</v>
      </c>
      <c r="R3" s="156">
        <v>0.28999999999999998</v>
      </c>
      <c r="S3" s="154">
        <f>O3*R3</f>
        <v>52625.268045756282</v>
      </c>
      <c r="T3" s="155">
        <f>P3*R3</f>
        <v>62815.786122486628</v>
      </c>
      <c r="U3" s="155">
        <f>SUM(S3:T3)</f>
        <v>115441.0541682429</v>
      </c>
      <c r="V3" s="154">
        <f>S3+F3</f>
        <v>54050.37898311016</v>
      </c>
      <c r="W3" s="155">
        <f>T3+G3</f>
        <v>65576.023018771157</v>
      </c>
      <c r="X3" s="155">
        <f>SUM(V3:W3)</f>
        <v>119626.40200188132</v>
      </c>
      <c r="Y3" s="26"/>
    </row>
    <row r="4" spans="1:26" ht="15.75" thickBot="1" x14ac:dyDescent="0.3">
      <c r="A4" s="74">
        <v>2021</v>
      </c>
      <c r="B4" s="60">
        <f>'5.1.1 Nakłady lata'!O3</f>
        <v>6912.5658309587898</v>
      </c>
      <c r="C4" s="60">
        <f>'5.1.1 Nakłady lata'!S3</f>
        <v>13388.655405337215</v>
      </c>
      <c r="D4" s="60">
        <f t="shared" ref="D4:D12" si="0">SUM(B4:C4)</f>
        <v>20301.221236296005</v>
      </c>
      <c r="E4" s="153">
        <v>0.23</v>
      </c>
      <c r="F4" s="60">
        <f t="shared" ref="F4:F12" si="1">B4*E4</f>
        <v>1589.8901411205218</v>
      </c>
      <c r="G4" s="60">
        <f t="shared" ref="G4:G12" si="2">C4*E4</f>
        <v>3079.3907432275596</v>
      </c>
      <c r="H4" s="60">
        <f t="shared" ref="H4:H12" si="3">SUM(F4:G4)</f>
        <v>4669.2808843480816</v>
      </c>
      <c r="I4" s="154">
        <f>'5.1.1 Nakłady lata'!I3</f>
        <v>76941.771211726445</v>
      </c>
      <c r="J4" s="155">
        <f>'5.1.1 Nakłady lata'!M3</f>
        <v>91841.011434256332</v>
      </c>
      <c r="K4" s="155">
        <f t="shared" ref="K4:K12" si="4">SUM(I4:J4)</f>
        <v>168782.78264598278</v>
      </c>
      <c r="L4" s="154">
        <f>'5.1.1 Nakłady lata'!C3</f>
        <v>115412.65681758965</v>
      </c>
      <c r="M4" s="155">
        <f>'5.1.1 Nakłady lata'!G3</f>
        <v>137761.5171513845</v>
      </c>
      <c r="N4" s="155">
        <f t="shared" ref="N4:N12" si="5">SUM(L4:M4)</f>
        <v>253174.17396897415</v>
      </c>
      <c r="O4" s="154">
        <f t="shared" ref="O4:O12" si="6">I4+L4</f>
        <v>192354.4280293161</v>
      </c>
      <c r="P4" s="155">
        <f t="shared" ref="P4:P12" si="7">J4+M4</f>
        <v>229602.52858564083</v>
      </c>
      <c r="Q4" s="155">
        <f t="shared" ref="Q4:Q13" si="8">SUM(O4:P4)</f>
        <v>421956.95661495696</v>
      </c>
      <c r="R4" s="156">
        <v>0.28999999999999998</v>
      </c>
      <c r="S4" s="154">
        <f t="shared" ref="S4:S12" si="9">O4*R4</f>
        <v>55782.784128501662</v>
      </c>
      <c r="T4" s="155">
        <f t="shared" ref="T4:T12" si="10">P4*R4</f>
        <v>66584.733289835829</v>
      </c>
      <c r="U4" s="155">
        <f t="shared" ref="U4:U11" si="11">SUM(S4:T4)</f>
        <v>122367.51741833749</v>
      </c>
      <c r="V4" s="154">
        <f t="shared" ref="V4:V12" si="12">S4+F4</f>
        <v>57372.674269622185</v>
      </c>
      <c r="W4" s="155">
        <f t="shared" ref="W4:W12" si="13">T4+G4</f>
        <v>69664.124033063388</v>
      </c>
      <c r="X4" s="155">
        <f t="shared" ref="X4:X13" si="14">SUM(V4:W4)</f>
        <v>127036.79830268558</v>
      </c>
      <c r="Y4" s="24"/>
    </row>
    <row r="5" spans="1:26" ht="15.75" thickBot="1" x14ac:dyDescent="0.3">
      <c r="A5" s="74">
        <v>2022</v>
      </c>
      <c r="B5" s="60">
        <f>'5.1.1 Nakłady lata'!O4</f>
        <v>7685.1467179483006</v>
      </c>
      <c r="C5" s="60">
        <f>'5.1.1 Nakłady lata'!S4</f>
        <v>14885.034538874903</v>
      </c>
      <c r="D5" s="60">
        <f t="shared" si="0"/>
        <v>22570.181256823205</v>
      </c>
      <c r="E5" s="153">
        <v>0.23</v>
      </c>
      <c r="F5" s="60">
        <f t="shared" si="1"/>
        <v>1767.5837451281093</v>
      </c>
      <c r="G5" s="60">
        <f t="shared" si="2"/>
        <v>3423.5579439412277</v>
      </c>
      <c r="H5" s="60">
        <f t="shared" si="3"/>
        <v>5191.1416890693372</v>
      </c>
      <c r="I5" s="154">
        <f>'5.1.1 Nakłady lata'!I4</f>
        <v>81558.277484430029</v>
      </c>
      <c r="J5" s="155">
        <f>'5.1.1 Nakłady lata'!M4</f>
        <v>97351.472120311722</v>
      </c>
      <c r="K5" s="155">
        <f t="shared" si="4"/>
        <v>178909.74960474175</v>
      </c>
      <c r="L5" s="154">
        <f>'5.1.1 Nakłady lata'!C4</f>
        <v>122337.41622664503</v>
      </c>
      <c r="M5" s="155">
        <f>'5.1.1 Nakłady lata'!G4</f>
        <v>146027.20818046757</v>
      </c>
      <c r="N5" s="155">
        <f t="shared" si="5"/>
        <v>268364.6244071126</v>
      </c>
      <c r="O5" s="154">
        <f t="shared" si="6"/>
        <v>203895.69371107506</v>
      </c>
      <c r="P5" s="155">
        <f t="shared" si="7"/>
        <v>243378.68030077929</v>
      </c>
      <c r="Q5" s="155">
        <f t="shared" si="8"/>
        <v>447274.37401185435</v>
      </c>
      <c r="R5" s="156">
        <v>0.28999999999999998</v>
      </c>
      <c r="S5" s="154">
        <f t="shared" si="9"/>
        <v>59129.751176211765</v>
      </c>
      <c r="T5" s="155">
        <f t="shared" si="10"/>
        <v>70579.817287225989</v>
      </c>
      <c r="U5" s="155">
        <f t="shared" si="11"/>
        <v>129709.56846343775</v>
      </c>
      <c r="V5" s="154">
        <f t="shared" si="12"/>
        <v>60897.334921339876</v>
      </c>
      <c r="W5" s="155">
        <f t="shared" si="13"/>
        <v>74003.375231167214</v>
      </c>
      <c r="X5" s="155">
        <f t="shared" si="14"/>
        <v>134900.71015250709</v>
      </c>
      <c r="Y5" s="24"/>
    </row>
    <row r="6" spans="1:26" ht="15.75" thickBot="1" x14ac:dyDescent="0.3">
      <c r="A6" s="74">
        <v>2023</v>
      </c>
      <c r="B6" s="60">
        <f>'5.1.1 Nakłady lata'!O5</f>
        <v>8517.7042790593678</v>
      </c>
      <c r="C6" s="60">
        <f>'5.1.1 Nakłady lata'!S5</f>
        <v>16497.57994725302</v>
      </c>
      <c r="D6" s="60">
        <f t="shared" si="0"/>
        <v>25015.284226312389</v>
      </c>
      <c r="E6" s="153">
        <v>0.23</v>
      </c>
      <c r="F6" s="60">
        <f t="shared" si="1"/>
        <v>1959.0719841836546</v>
      </c>
      <c r="G6" s="60">
        <f t="shared" si="2"/>
        <v>3794.4433878681948</v>
      </c>
      <c r="H6" s="60">
        <f t="shared" si="3"/>
        <v>5753.5153720518492</v>
      </c>
      <c r="I6" s="154">
        <f>'5.1.1 Nakłady lata'!I5</f>
        <v>86451.774133495812</v>
      </c>
      <c r="J6" s="155">
        <f>'5.1.1 Nakłady lata'!M5</f>
        <v>103192.56044753041</v>
      </c>
      <c r="K6" s="155">
        <f t="shared" si="4"/>
        <v>189644.33458102623</v>
      </c>
      <c r="L6" s="154">
        <f>'5.1.1 Nakłady lata'!C5</f>
        <v>129677.66120024375</v>
      </c>
      <c r="M6" s="155">
        <f>'5.1.1 Nakłady lata'!G5</f>
        <v>154788.84067129562</v>
      </c>
      <c r="N6" s="155">
        <f t="shared" si="5"/>
        <v>284466.5018715394</v>
      </c>
      <c r="O6" s="154">
        <f t="shared" si="6"/>
        <v>216129.43533373956</v>
      </c>
      <c r="P6" s="155">
        <f t="shared" si="7"/>
        <v>257981.40111882603</v>
      </c>
      <c r="Q6" s="155">
        <f t="shared" si="8"/>
        <v>474110.83645256562</v>
      </c>
      <c r="R6" s="156">
        <v>0.28999999999999998</v>
      </c>
      <c r="S6" s="154">
        <f t="shared" si="9"/>
        <v>62677.536246784468</v>
      </c>
      <c r="T6" s="155">
        <f t="shared" si="10"/>
        <v>74814.606324459543</v>
      </c>
      <c r="U6" s="155">
        <f t="shared" si="11"/>
        <v>137492.14257124401</v>
      </c>
      <c r="V6" s="154">
        <f t="shared" si="12"/>
        <v>64636.608230968122</v>
      </c>
      <c r="W6" s="155">
        <f t="shared" si="13"/>
        <v>78609.049712327731</v>
      </c>
      <c r="X6" s="155">
        <f t="shared" si="14"/>
        <v>143245.65794329584</v>
      </c>
      <c r="Y6" s="24"/>
    </row>
    <row r="7" spans="1:26" ht="15.75" thickBot="1" x14ac:dyDescent="0.3">
      <c r="A7" s="74">
        <v>2024</v>
      </c>
      <c r="B7" s="60">
        <f>'5.1.1 Nakłady lata'!O6</f>
        <v>9414.3047294866701</v>
      </c>
      <c r="C7" s="60">
        <f>'5.1.1 Nakłady lata'!S6</f>
        <v>18234.16731012176</v>
      </c>
      <c r="D7" s="60">
        <f t="shared" si="0"/>
        <v>27648.47203960843</v>
      </c>
      <c r="E7" s="153">
        <v>0.23</v>
      </c>
      <c r="F7" s="60">
        <f t="shared" si="1"/>
        <v>2165.2900877819343</v>
      </c>
      <c r="G7" s="60">
        <f t="shared" si="2"/>
        <v>4193.8584813280049</v>
      </c>
      <c r="H7" s="60">
        <f t="shared" si="3"/>
        <v>6359.1485691099388</v>
      </c>
      <c r="I7" s="154">
        <f>'5.1.1 Nakłady lata'!I6</f>
        <v>91638.880581505582</v>
      </c>
      <c r="J7" s="155">
        <f>'5.1.1 Nakłady lata'!M6</f>
        <v>109384.11407438225</v>
      </c>
      <c r="K7" s="155">
        <f t="shared" si="4"/>
        <v>201022.99465588783</v>
      </c>
      <c r="L7" s="154">
        <f>'5.1.1 Nakłady lata'!C6</f>
        <v>137458.32087225837</v>
      </c>
      <c r="M7" s="155">
        <f>'5.1.1 Nakłady lata'!G6</f>
        <v>164076.17111157338</v>
      </c>
      <c r="N7" s="155">
        <f t="shared" si="5"/>
        <v>301534.49198383174</v>
      </c>
      <c r="O7" s="154">
        <f t="shared" si="6"/>
        <v>229097.20145376393</v>
      </c>
      <c r="P7" s="155">
        <f t="shared" si="7"/>
        <v>273460.28518595564</v>
      </c>
      <c r="Q7" s="155">
        <f t="shared" si="8"/>
        <v>502557.48663971957</v>
      </c>
      <c r="R7" s="156">
        <v>0.28999999999999998</v>
      </c>
      <c r="S7" s="154">
        <f t="shared" si="9"/>
        <v>66438.188421591534</v>
      </c>
      <c r="T7" s="155">
        <f t="shared" si="10"/>
        <v>79303.482703927133</v>
      </c>
      <c r="U7" s="155">
        <f t="shared" si="11"/>
        <v>145741.67112551868</v>
      </c>
      <c r="V7" s="154">
        <f t="shared" si="12"/>
        <v>68603.478509373468</v>
      </c>
      <c r="W7" s="155">
        <f t="shared" si="13"/>
        <v>83497.341185255136</v>
      </c>
      <c r="X7" s="155">
        <f t="shared" si="14"/>
        <v>152100.81969462859</v>
      </c>
      <c r="Y7" s="24"/>
    </row>
    <row r="8" spans="1:26" ht="15.75" thickBot="1" x14ac:dyDescent="0.3">
      <c r="A8" s="74">
        <v>2025</v>
      </c>
      <c r="B8" s="60">
        <f>'5.1.1 Nakłady lata'!O7</f>
        <v>10379.270964259054</v>
      </c>
      <c r="C8" s="60">
        <f>'5.1.1 Nakłady lata'!S7</f>
        <v>20103.169459409241</v>
      </c>
      <c r="D8" s="60">
        <f t="shared" si="0"/>
        <v>30482.440423668297</v>
      </c>
      <c r="E8" s="153">
        <v>0.23</v>
      </c>
      <c r="F8" s="60">
        <f t="shared" si="1"/>
        <v>2387.2323217795824</v>
      </c>
      <c r="G8" s="60">
        <f t="shared" si="2"/>
        <v>4623.7289756641258</v>
      </c>
      <c r="H8" s="60">
        <f t="shared" si="3"/>
        <v>7010.9612974437077</v>
      </c>
      <c r="I8" s="154">
        <f>'5.1.1 Nakłady lata'!I7</f>
        <v>97137.213416395913</v>
      </c>
      <c r="J8" s="155">
        <f>'5.1.1 Nakłady lata'!M7</f>
        <v>115947.16091884518</v>
      </c>
      <c r="K8" s="155">
        <f t="shared" si="4"/>
        <v>213084.3743352411</v>
      </c>
      <c r="L8" s="154">
        <f>'5.1.1 Nakłady lata'!C7</f>
        <v>145705.82012459388</v>
      </c>
      <c r="M8" s="155">
        <f>'5.1.1 Nakłady lata'!G7</f>
        <v>173920.74137826779</v>
      </c>
      <c r="N8" s="155">
        <f t="shared" si="5"/>
        <v>319626.56150286167</v>
      </c>
      <c r="O8" s="154">
        <f t="shared" si="6"/>
        <v>242843.0335409898</v>
      </c>
      <c r="P8" s="155">
        <f t="shared" si="7"/>
        <v>289867.90229711297</v>
      </c>
      <c r="Q8" s="155">
        <f t="shared" si="8"/>
        <v>532710.93583810283</v>
      </c>
      <c r="R8" s="156">
        <v>0.28999999999999998</v>
      </c>
      <c r="S8" s="154">
        <f t="shared" si="9"/>
        <v>70424.479726887032</v>
      </c>
      <c r="T8" s="155">
        <f t="shared" si="10"/>
        <v>84061.691666162762</v>
      </c>
      <c r="U8" s="155">
        <f t="shared" si="11"/>
        <v>154486.17139304979</v>
      </c>
      <c r="V8" s="154">
        <f t="shared" si="12"/>
        <v>72811.71204866661</v>
      </c>
      <c r="W8" s="155">
        <f t="shared" si="13"/>
        <v>88685.420641826888</v>
      </c>
      <c r="X8" s="155">
        <f t="shared" si="14"/>
        <v>161497.13269049348</v>
      </c>
      <c r="Y8" s="24"/>
    </row>
    <row r="9" spans="1:26" ht="15.75" thickBot="1" x14ac:dyDescent="0.3">
      <c r="A9" s="74">
        <v>2026</v>
      </c>
      <c r="B9" s="60">
        <f>'5.1.1 Nakłady lata'!O8</f>
        <v>11417.198060684961</v>
      </c>
      <c r="C9" s="60">
        <f>'5.1.1 Nakłady lata'!S8</f>
        <v>22113.486405350166</v>
      </c>
      <c r="D9" s="60">
        <f t="shared" si="0"/>
        <v>33530.684466035127</v>
      </c>
      <c r="E9" s="153">
        <v>0.23</v>
      </c>
      <c r="F9" s="60">
        <f t="shared" si="1"/>
        <v>2625.9555539575413</v>
      </c>
      <c r="G9" s="60">
        <f t="shared" si="2"/>
        <v>5086.1018732305383</v>
      </c>
      <c r="H9" s="60">
        <f t="shared" si="3"/>
        <v>7712.0574271880796</v>
      </c>
      <c r="I9" s="154">
        <f>'5.1.1 Nakłady lata'!I8</f>
        <v>102965.44622137968</v>
      </c>
      <c r="J9" s="155">
        <f>'5.1.1 Nakłady lata'!M8</f>
        <v>122903.99057397591</v>
      </c>
      <c r="K9" s="155">
        <f t="shared" si="4"/>
        <v>225869.43679535558</v>
      </c>
      <c r="L9" s="154">
        <f>'5.1.1 Nakłady lata'!C8</f>
        <v>154448.16933206952</v>
      </c>
      <c r="M9" s="155">
        <f>'5.1.1 Nakłady lata'!G8</f>
        <v>184355.98586096388</v>
      </c>
      <c r="N9" s="155">
        <f t="shared" si="5"/>
        <v>338804.1551930334</v>
      </c>
      <c r="O9" s="154">
        <f t="shared" si="6"/>
        <v>257413.6155534492</v>
      </c>
      <c r="P9" s="155">
        <f t="shared" si="7"/>
        <v>307259.97643493977</v>
      </c>
      <c r="Q9" s="155">
        <f t="shared" si="8"/>
        <v>564673.59198838891</v>
      </c>
      <c r="R9" s="156">
        <v>0.28999999999999998</v>
      </c>
      <c r="S9" s="154">
        <f t="shared" si="9"/>
        <v>74649.948510500268</v>
      </c>
      <c r="T9" s="155">
        <f t="shared" si="10"/>
        <v>89105.393166132533</v>
      </c>
      <c r="U9" s="155">
        <f t="shared" si="11"/>
        <v>163755.34167663282</v>
      </c>
      <c r="V9" s="154">
        <f t="shared" si="12"/>
        <v>77275.904064457805</v>
      </c>
      <c r="W9" s="155">
        <f t="shared" si="13"/>
        <v>94191.495039363072</v>
      </c>
      <c r="X9" s="155">
        <f t="shared" si="14"/>
        <v>171467.39910382088</v>
      </c>
      <c r="Y9" s="24"/>
    </row>
    <row r="10" spans="1:26" ht="15.75" thickBot="1" x14ac:dyDescent="0.3">
      <c r="A10" s="74">
        <v>2027</v>
      </c>
      <c r="B10" s="60">
        <f>'5.1.1 Nakłady lata'!O9</f>
        <v>12532.969689342812</v>
      </c>
      <c r="C10" s="60">
        <f>'5.1.1 Nakłady lata'!S9</f>
        <v>24274.577122236664</v>
      </c>
      <c r="D10" s="60">
        <f t="shared" si="0"/>
        <v>36807.546811579479</v>
      </c>
      <c r="E10" s="153">
        <v>0.23</v>
      </c>
      <c r="F10" s="60">
        <f t="shared" si="1"/>
        <v>2882.5830285488469</v>
      </c>
      <c r="G10" s="60">
        <f t="shared" si="2"/>
        <v>5583.1527381144333</v>
      </c>
      <c r="H10" s="60">
        <f t="shared" si="3"/>
        <v>8465.7357666632797</v>
      </c>
      <c r="I10" s="154">
        <f>'5.1.1 Nakłady lata'!I9</f>
        <v>109143.37299466247</v>
      </c>
      <c r="J10" s="155">
        <f>'5.1.1 Nakłady lata'!M9</f>
        <v>130278.23000841448</v>
      </c>
      <c r="K10" s="155">
        <f t="shared" si="4"/>
        <v>239421.60300307695</v>
      </c>
      <c r="L10" s="154">
        <f>'5.1.1 Nakłady lata'!C9</f>
        <v>163715.05949199368</v>
      </c>
      <c r="M10" s="155">
        <f>'5.1.1 Nakłady lata'!G9</f>
        <v>195417.34501262172</v>
      </c>
      <c r="N10" s="155">
        <f t="shared" si="5"/>
        <v>359132.40450461541</v>
      </c>
      <c r="O10" s="154">
        <f t="shared" si="6"/>
        <v>272858.43248665612</v>
      </c>
      <c r="P10" s="155">
        <f t="shared" si="7"/>
        <v>325695.5750210362</v>
      </c>
      <c r="Q10" s="155">
        <f t="shared" si="8"/>
        <v>598554.00750769232</v>
      </c>
      <c r="R10" s="156">
        <v>0.28999999999999998</v>
      </c>
      <c r="S10" s="154">
        <f t="shared" si="9"/>
        <v>79128.945421130265</v>
      </c>
      <c r="T10" s="155">
        <f t="shared" si="10"/>
        <v>94451.71675610049</v>
      </c>
      <c r="U10" s="155">
        <f t="shared" si="11"/>
        <v>173580.66217723076</v>
      </c>
      <c r="V10" s="154">
        <f t="shared" si="12"/>
        <v>82011.528449679114</v>
      </c>
      <c r="W10" s="155">
        <f t="shared" si="13"/>
        <v>100034.86949421492</v>
      </c>
      <c r="X10" s="155">
        <f t="shared" si="14"/>
        <v>182046.39794389403</v>
      </c>
      <c r="Y10" s="24"/>
    </row>
    <row r="11" spans="1:26" ht="15.75" thickBot="1" x14ac:dyDescent="0.3">
      <c r="A11" s="74">
        <v>2028</v>
      </c>
      <c r="B11" s="60">
        <f>'5.1.1 Nakłady lata'!O10</f>
        <v>13731.775485714732</v>
      </c>
      <c r="C11" s="60">
        <f>'5.1.1 Nakłady lata'!S10</f>
        <v>26596.493194798433</v>
      </c>
      <c r="D11" s="60">
        <f t="shared" si="0"/>
        <v>40328.268680513167</v>
      </c>
      <c r="E11" s="153">
        <v>0.23</v>
      </c>
      <c r="F11" s="60">
        <f t="shared" si="1"/>
        <v>3158.3083617143884</v>
      </c>
      <c r="G11" s="60">
        <f t="shared" si="2"/>
        <v>6117.1934348036402</v>
      </c>
      <c r="H11" s="60">
        <f t="shared" si="3"/>
        <v>9275.5017965180286</v>
      </c>
      <c r="I11" s="154">
        <f>'5.1.1 Nakłady lata'!I10</f>
        <v>115691.97537434222</v>
      </c>
      <c r="J11" s="155">
        <f>'5.1.1 Nakłady lata'!M10</f>
        <v>138094.92380891935</v>
      </c>
      <c r="K11" s="155">
        <f t="shared" si="4"/>
        <v>253786.89918326156</v>
      </c>
      <c r="L11" s="154">
        <f>'5.1.1 Nakłady lata'!C10</f>
        <v>173537.96306151332</v>
      </c>
      <c r="M11" s="155">
        <f>'5.1.1 Nakłady lata'!G10</f>
        <v>207142.38571337904</v>
      </c>
      <c r="N11" s="155">
        <f t="shared" si="5"/>
        <v>380680.34877489239</v>
      </c>
      <c r="O11" s="154">
        <f t="shared" si="6"/>
        <v>289229.93843585555</v>
      </c>
      <c r="P11" s="155">
        <f t="shared" si="7"/>
        <v>345237.3095222984</v>
      </c>
      <c r="Q11" s="155">
        <f t="shared" si="8"/>
        <v>634467.24795815395</v>
      </c>
      <c r="R11" s="156">
        <v>0.28999999999999998</v>
      </c>
      <c r="S11" s="154">
        <f t="shared" si="9"/>
        <v>83876.682146398103</v>
      </c>
      <c r="T11" s="155">
        <f t="shared" si="10"/>
        <v>100118.81976146653</v>
      </c>
      <c r="U11" s="155">
        <f t="shared" si="11"/>
        <v>183995.50190786464</v>
      </c>
      <c r="V11" s="154">
        <f t="shared" si="12"/>
        <v>87034.990508112489</v>
      </c>
      <c r="W11" s="155">
        <f t="shared" si="13"/>
        <v>106236.01319627017</v>
      </c>
      <c r="X11" s="155">
        <f t="shared" si="14"/>
        <v>193271.00370438266</v>
      </c>
      <c r="Y11" s="24"/>
    </row>
    <row r="12" spans="1:26" ht="15.75" thickBot="1" x14ac:dyDescent="0.3">
      <c r="A12" s="74">
        <v>2029</v>
      </c>
      <c r="B12" s="60">
        <f>'5.1.1 Nakłady lata'!O11</f>
        <v>15019.129437500491</v>
      </c>
      <c r="C12" s="60">
        <f>'5.1.1 Nakłady lata'!S11</f>
        <v>29089.91443181079</v>
      </c>
      <c r="D12" s="60">
        <f t="shared" si="0"/>
        <v>44109.043869311281</v>
      </c>
      <c r="E12" s="153">
        <v>0.23</v>
      </c>
      <c r="F12" s="60">
        <f t="shared" si="1"/>
        <v>3454.399770625113</v>
      </c>
      <c r="G12" s="60">
        <f t="shared" si="2"/>
        <v>6690.6803193164824</v>
      </c>
      <c r="H12" s="60">
        <f t="shared" si="3"/>
        <v>10145.080089941595</v>
      </c>
      <c r="I12" s="154">
        <f>'5.1.1 Nakłady lata'!I11</f>
        <v>122633.49389680274</v>
      </c>
      <c r="J12" s="155">
        <f>'5.1.1 Nakłady lata'!M11</f>
        <v>146380.61923745455</v>
      </c>
      <c r="K12" s="155">
        <f t="shared" si="4"/>
        <v>269014.11313425726</v>
      </c>
      <c r="L12" s="154">
        <f>'5.1.1 Nakłady lata'!C11</f>
        <v>183950.24084520413</v>
      </c>
      <c r="M12" s="155">
        <f>'5.1.1 Nakłady lata'!G11</f>
        <v>219570.9288561818</v>
      </c>
      <c r="N12" s="155">
        <f t="shared" si="5"/>
        <v>403521.16970138589</v>
      </c>
      <c r="O12" s="154">
        <f t="shared" si="6"/>
        <v>306583.73474200687</v>
      </c>
      <c r="P12" s="155">
        <f t="shared" si="7"/>
        <v>365951.54809363635</v>
      </c>
      <c r="Q12" s="155">
        <f t="shared" si="8"/>
        <v>672535.28283564327</v>
      </c>
      <c r="R12" s="156">
        <v>0.28999999999999998</v>
      </c>
      <c r="S12" s="154">
        <f t="shared" si="9"/>
        <v>88909.283075181986</v>
      </c>
      <c r="T12" s="155">
        <f t="shared" si="10"/>
        <v>106125.94894715454</v>
      </c>
      <c r="U12" s="155">
        <f>SUM(S12:T12)</f>
        <v>195035.23202233651</v>
      </c>
      <c r="V12" s="154">
        <f t="shared" si="12"/>
        <v>92363.682845807096</v>
      </c>
      <c r="W12" s="155">
        <f t="shared" si="13"/>
        <v>112816.62926647102</v>
      </c>
      <c r="X12" s="155">
        <f t="shared" si="14"/>
        <v>205180.31211227813</v>
      </c>
      <c r="Y12" s="24"/>
    </row>
    <row r="13" spans="1:26" x14ac:dyDescent="0.25">
      <c r="A13" s="157" t="s">
        <v>65</v>
      </c>
      <c r="B13" s="158">
        <f>SUM(B3:B12)</f>
        <v>101806.19970518943</v>
      </c>
      <c r="C13" s="158">
        <f t="shared" ref="C13:D13" si="15">SUM(C3:C12)</f>
        <v>197184.10779903797</v>
      </c>
      <c r="D13" s="158">
        <f t="shared" si="15"/>
        <v>298990.30750422738</v>
      </c>
      <c r="E13" s="159"/>
      <c r="F13" s="158">
        <f>SUM(F3:F12)</f>
        <v>23415.425932193568</v>
      </c>
      <c r="G13" s="158">
        <f t="shared" ref="G13:H13" si="16">SUM(G3:G12)</f>
        <v>45352.344793778728</v>
      </c>
      <c r="H13" s="158">
        <f t="shared" si="16"/>
        <v>68767.77072597231</v>
      </c>
      <c r="I13" s="160">
        <f t="shared" ref="I13:P13" si="17">SUM(I3:I12)</f>
        <v>956748.78192957724</v>
      </c>
      <c r="J13" s="158">
        <f t="shared" si="17"/>
        <v>1142016.5462413132</v>
      </c>
      <c r="K13" s="158">
        <f t="shared" si="17"/>
        <v>2098765.32817089</v>
      </c>
      <c r="L13" s="160">
        <f t="shared" si="17"/>
        <v>1435123.1728943659</v>
      </c>
      <c r="M13" s="158">
        <f t="shared" si="17"/>
        <v>1713024.8193619698</v>
      </c>
      <c r="N13" s="158">
        <f t="shared" si="17"/>
        <v>3148147.9922563354</v>
      </c>
      <c r="O13" s="161">
        <f t="shared" si="17"/>
        <v>2391871.9548239429</v>
      </c>
      <c r="P13" s="158">
        <f t="shared" si="17"/>
        <v>2855041.365603283</v>
      </c>
      <c r="Q13" s="158">
        <f t="shared" si="8"/>
        <v>5246913.3204272259</v>
      </c>
      <c r="R13" s="158"/>
      <c r="S13" s="161">
        <f>SUM(S3:S12)</f>
        <v>693642.86689894332</v>
      </c>
      <c r="T13" s="158">
        <f>SUM(T3:T12)</f>
        <v>827961.99602495215</v>
      </c>
      <c r="U13" s="158">
        <f>SUM(U3:U12)</f>
        <v>1521604.862923895</v>
      </c>
      <c r="V13" s="161">
        <f>SUM(V3:V12)</f>
        <v>717058.29283113685</v>
      </c>
      <c r="W13" s="158">
        <f>SUM(W3:W12)</f>
        <v>873314.34081873077</v>
      </c>
      <c r="X13" s="158">
        <f t="shared" si="14"/>
        <v>1590372.6336498675</v>
      </c>
    </row>
    <row r="15" spans="1:26" x14ac:dyDescent="0.25">
      <c r="A15" s="33" t="s">
        <v>366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1"/>
    </row>
    <row r="17" spans="1:24" x14ac:dyDescent="0.25">
      <c r="A17" s="33" t="s">
        <v>367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1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Y26"/>
  <sheetViews>
    <sheetView zoomScale="90" zoomScaleNormal="90" workbookViewId="0">
      <selection activeCell="F29" sqref="F29"/>
    </sheetView>
  </sheetViews>
  <sheetFormatPr defaultRowHeight="15" x14ac:dyDescent="0.25"/>
  <cols>
    <col min="1" max="1" width="25" customWidth="1"/>
    <col min="2" max="2" width="12.5703125" customWidth="1"/>
    <col min="3" max="3" width="12.85546875" customWidth="1"/>
    <col min="4" max="6" width="11.85546875" customWidth="1"/>
    <col min="7" max="7" width="12.7109375" customWidth="1"/>
    <col min="8" max="8" width="13" customWidth="1"/>
    <col min="9" max="9" width="12.140625" customWidth="1"/>
    <col min="10" max="11" width="11.85546875" customWidth="1"/>
    <col min="12" max="12" width="10.85546875" customWidth="1"/>
    <col min="13" max="13" width="11.85546875" customWidth="1"/>
    <col min="14" max="16" width="13" customWidth="1"/>
    <col min="17" max="17" width="12.7109375" customWidth="1"/>
    <col min="18" max="21" width="13" customWidth="1"/>
    <col min="22" max="22" width="9.5703125" customWidth="1"/>
    <col min="23" max="26" width="13" customWidth="1"/>
    <col min="27" max="27" width="12.7109375" customWidth="1"/>
    <col min="28" max="28" width="13.7109375" customWidth="1"/>
    <col min="29" max="31" width="13" customWidth="1"/>
    <col min="32" max="32" width="9.5703125" customWidth="1"/>
    <col min="33" max="36" width="13" customWidth="1"/>
    <col min="37" max="37" width="14.7109375" customWidth="1"/>
    <col min="38" max="38" width="13.42578125" customWidth="1"/>
    <col min="39" max="39" width="13" customWidth="1"/>
    <col min="40" max="40" width="13.140625" customWidth="1"/>
    <col min="41" max="41" width="13" customWidth="1"/>
    <col min="42" max="42" width="8.28515625" customWidth="1"/>
    <col min="43" max="46" width="13" customWidth="1"/>
    <col min="47" max="47" width="8.28515625" customWidth="1"/>
    <col min="48" max="51" width="13" customWidth="1"/>
  </cols>
  <sheetData>
    <row r="1" spans="1:51" x14ac:dyDescent="0.25">
      <c r="A1" s="41" t="s">
        <v>24</v>
      </c>
      <c r="B1" s="39" t="s">
        <v>25</v>
      </c>
      <c r="C1" s="40" t="s">
        <v>277</v>
      </c>
      <c r="D1" s="40" t="s">
        <v>278</v>
      </c>
      <c r="E1" s="40" t="s">
        <v>279</v>
      </c>
      <c r="F1" s="41" t="s">
        <v>280</v>
      </c>
      <c r="G1" s="39" t="s">
        <v>26</v>
      </c>
      <c r="H1" s="40" t="s">
        <v>281</v>
      </c>
      <c r="I1" s="40" t="s">
        <v>282</v>
      </c>
      <c r="J1" s="40" t="s">
        <v>283</v>
      </c>
      <c r="K1" s="41" t="s">
        <v>284</v>
      </c>
      <c r="L1" s="39" t="s">
        <v>27</v>
      </c>
      <c r="M1" s="40" t="s">
        <v>285</v>
      </c>
      <c r="N1" s="40" t="s">
        <v>286</v>
      </c>
      <c r="O1" s="40" t="s">
        <v>287</v>
      </c>
      <c r="P1" s="41" t="s">
        <v>288</v>
      </c>
      <c r="Q1" s="34" t="s">
        <v>28</v>
      </c>
      <c r="R1" s="35" t="s">
        <v>289</v>
      </c>
      <c r="S1" s="35" t="s">
        <v>290</v>
      </c>
      <c r="T1" s="35" t="s">
        <v>291</v>
      </c>
      <c r="U1" s="35" t="s">
        <v>292</v>
      </c>
      <c r="V1" s="36" t="s">
        <v>29</v>
      </c>
      <c r="W1" s="37" t="s">
        <v>293</v>
      </c>
      <c r="X1" s="37" t="s">
        <v>294</v>
      </c>
      <c r="Y1" s="37" t="s">
        <v>295</v>
      </c>
      <c r="Z1" s="38" t="s">
        <v>296</v>
      </c>
      <c r="AA1" s="36" t="s">
        <v>48</v>
      </c>
      <c r="AB1" s="37" t="s">
        <v>335</v>
      </c>
      <c r="AC1" s="37" t="s">
        <v>336</v>
      </c>
      <c r="AD1" s="37" t="s">
        <v>337</v>
      </c>
      <c r="AE1" s="38" t="s">
        <v>338</v>
      </c>
      <c r="AF1" s="36" t="s">
        <v>49</v>
      </c>
      <c r="AG1" s="37" t="s">
        <v>339</v>
      </c>
      <c r="AH1" s="37" t="s">
        <v>340</v>
      </c>
      <c r="AI1" s="37" t="s">
        <v>341</v>
      </c>
      <c r="AJ1" s="38" t="s">
        <v>342</v>
      </c>
      <c r="AK1" s="36" t="s">
        <v>50</v>
      </c>
      <c r="AL1" s="37" t="s">
        <v>343</v>
      </c>
      <c r="AM1" s="37" t="s">
        <v>344</v>
      </c>
      <c r="AN1" s="37" t="s">
        <v>345</v>
      </c>
      <c r="AO1" s="38" t="s">
        <v>368</v>
      </c>
      <c r="AP1" s="36" t="s">
        <v>51</v>
      </c>
      <c r="AQ1" s="37" t="s">
        <v>369</v>
      </c>
      <c r="AR1" s="37" t="s">
        <v>370</v>
      </c>
      <c r="AS1" s="37" t="s">
        <v>371</v>
      </c>
      <c r="AT1" s="38" t="s">
        <v>372</v>
      </c>
      <c r="AU1" s="136" t="s">
        <v>52</v>
      </c>
      <c r="AV1" s="9" t="s">
        <v>373</v>
      </c>
      <c r="AW1" s="9" t="s">
        <v>374</v>
      </c>
      <c r="AX1" s="9" t="s">
        <v>375</v>
      </c>
      <c r="AY1" s="9" t="s">
        <v>376</v>
      </c>
    </row>
    <row r="2" spans="1:51" ht="123.75" customHeight="1" x14ac:dyDescent="0.25">
      <c r="A2" s="137" t="s">
        <v>18</v>
      </c>
      <c r="B2" s="138" t="s">
        <v>43</v>
      </c>
      <c r="C2" s="139"/>
      <c r="D2" s="139"/>
      <c r="E2" s="139"/>
      <c r="F2" s="137"/>
      <c r="G2" s="138" t="s">
        <v>44</v>
      </c>
      <c r="H2" s="139"/>
      <c r="I2" s="139"/>
      <c r="J2" s="139"/>
      <c r="K2" s="137"/>
      <c r="L2" s="138" t="s">
        <v>46</v>
      </c>
      <c r="M2" s="139"/>
      <c r="N2" s="139"/>
      <c r="O2" s="139"/>
      <c r="P2" s="137"/>
      <c r="Q2" s="140" t="s">
        <v>40</v>
      </c>
      <c r="R2" s="140"/>
      <c r="S2" s="140"/>
      <c r="T2" s="140"/>
      <c r="U2" s="140"/>
      <c r="V2" s="138" t="s">
        <v>45</v>
      </c>
      <c r="W2" s="139"/>
      <c r="X2" s="139"/>
      <c r="Y2" s="139"/>
      <c r="Z2" s="137"/>
      <c r="AA2" s="140" t="s">
        <v>41</v>
      </c>
      <c r="AB2" s="140"/>
      <c r="AC2" s="140"/>
      <c r="AD2" s="140"/>
      <c r="AE2" s="140"/>
      <c r="AF2" s="138" t="s">
        <v>37</v>
      </c>
      <c r="AG2" s="139"/>
      <c r="AH2" s="139"/>
      <c r="AI2" s="139"/>
      <c r="AJ2" s="137"/>
      <c r="AK2" s="140" t="s">
        <v>42</v>
      </c>
      <c r="AL2" s="140"/>
      <c r="AM2" s="140"/>
      <c r="AN2" s="140"/>
      <c r="AO2" s="138"/>
      <c r="AP2" s="140" t="s">
        <v>38</v>
      </c>
      <c r="AQ2" s="140"/>
      <c r="AR2" s="140"/>
      <c r="AS2" s="140"/>
      <c r="AT2" s="140"/>
      <c r="AU2" s="140" t="s">
        <v>47</v>
      </c>
      <c r="AV2" s="140"/>
      <c r="AW2" s="140"/>
      <c r="AX2" s="140"/>
      <c r="AY2" s="140"/>
    </row>
    <row r="3" spans="1:51" ht="15" customHeight="1" x14ac:dyDescent="0.25">
      <c r="A3" s="137"/>
      <c r="B3" s="95" t="s">
        <v>19</v>
      </c>
      <c r="C3" s="97" t="s">
        <v>20</v>
      </c>
      <c r="D3" s="97" t="s">
        <v>21</v>
      </c>
      <c r="E3" s="97" t="s">
        <v>22</v>
      </c>
      <c r="F3" s="97" t="s">
        <v>23</v>
      </c>
      <c r="G3" s="95" t="s">
        <v>19</v>
      </c>
      <c r="H3" s="97" t="s">
        <v>20</v>
      </c>
      <c r="I3" s="97" t="s">
        <v>21</v>
      </c>
      <c r="J3" s="97" t="s">
        <v>22</v>
      </c>
      <c r="K3" s="97" t="s">
        <v>23</v>
      </c>
      <c r="L3" s="95" t="s">
        <v>19</v>
      </c>
      <c r="M3" s="97" t="s">
        <v>20</v>
      </c>
      <c r="N3" s="97" t="s">
        <v>21</v>
      </c>
      <c r="O3" s="97" t="s">
        <v>22</v>
      </c>
      <c r="P3" s="97" t="s">
        <v>23</v>
      </c>
      <c r="Q3" s="95" t="s">
        <v>19</v>
      </c>
      <c r="R3" s="97" t="s">
        <v>20</v>
      </c>
      <c r="S3" s="97" t="s">
        <v>21</v>
      </c>
      <c r="T3" s="97" t="s">
        <v>22</v>
      </c>
      <c r="U3" s="97" t="s">
        <v>23</v>
      </c>
      <c r="V3" s="95" t="s">
        <v>19</v>
      </c>
      <c r="W3" s="97" t="s">
        <v>20</v>
      </c>
      <c r="X3" s="97" t="s">
        <v>21</v>
      </c>
      <c r="Y3" s="97" t="s">
        <v>22</v>
      </c>
      <c r="Z3" s="97" t="s">
        <v>23</v>
      </c>
      <c r="AA3" s="95" t="s">
        <v>19</v>
      </c>
      <c r="AB3" s="97" t="s">
        <v>20</v>
      </c>
      <c r="AC3" s="97" t="s">
        <v>21</v>
      </c>
      <c r="AD3" s="97" t="s">
        <v>22</v>
      </c>
      <c r="AE3" s="97" t="s">
        <v>23</v>
      </c>
      <c r="AF3" s="96" t="s">
        <v>19</v>
      </c>
      <c r="AG3" s="96" t="s">
        <v>20</v>
      </c>
      <c r="AH3" s="96" t="s">
        <v>21</v>
      </c>
      <c r="AI3" s="96" t="s">
        <v>22</v>
      </c>
      <c r="AJ3" s="96" t="s">
        <v>23</v>
      </c>
      <c r="AK3" s="95" t="s">
        <v>19</v>
      </c>
      <c r="AL3" s="97" t="s">
        <v>20</v>
      </c>
      <c r="AM3" s="97" t="s">
        <v>21</v>
      </c>
      <c r="AN3" s="97" t="s">
        <v>22</v>
      </c>
      <c r="AO3" s="141" t="s">
        <v>23</v>
      </c>
      <c r="AP3" s="140" t="s">
        <v>19</v>
      </c>
      <c r="AQ3" s="140" t="s">
        <v>20</v>
      </c>
      <c r="AR3" s="140" t="s">
        <v>21</v>
      </c>
      <c r="AS3" s="140" t="s">
        <v>22</v>
      </c>
      <c r="AT3" s="140" t="s">
        <v>23</v>
      </c>
      <c r="AU3" s="140" t="s">
        <v>19</v>
      </c>
      <c r="AV3" s="140" t="s">
        <v>20</v>
      </c>
      <c r="AW3" s="140" t="s">
        <v>21</v>
      </c>
      <c r="AX3" s="140" t="s">
        <v>22</v>
      </c>
      <c r="AY3" s="140" t="s">
        <v>23</v>
      </c>
    </row>
    <row r="4" spans="1:51" s="2" customFormat="1" x14ac:dyDescent="0.25">
      <c r="A4" s="137"/>
      <c r="B4" s="142">
        <v>2015</v>
      </c>
      <c r="C4" s="142">
        <v>2015</v>
      </c>
      <c r="D4" s="142">
        <v>2015</v>
      </c>
      <c r="E4" s="142">
        <v>2015</v>
      </c>
      <c r="F4" s="142">
        <v>2015</v>
      </c>
      <c r="G4" s="142">
        <v>2016</v>
      </c>
      <c r="H4" s="142">
        <v>2016</v>
      </c>
      <c r="I4" s="142">
        <v>2016</v>
      </c>
      <c r="J4" s="142">
        <v>2016</v>
      </c>
      <c r="K4" s="142">
        <v>2016</v>
      </c>
      <c r="L4" s="142">
        <v>2016</v>
      </c>
      <c r="M4" s="142">
        <v>2016</v>
      </c>
      <c r="N4" s="142">
        <v>2016</v>
      </c>
      <c r="O4" s="142">
        <v>2016</v>
      </c>
      <c r="P4" s="142">
        <v>2016</v>
      </c>
      <c r="Q4" s="143" t="s">
        <v>0</v>
      </c>
      <c r="R4" s="101" t="s">
        <v>0</v>
      </c>
      <c r="S4" s="101" t="s">
        <v>0</v>
      </c>
      <c r="T4" s="101" t="s">
        <v>0</v>
      </c>
      <c r="U4" s="101" t="s">
        <v>0</v>
      </c>
      <c r="V4" s="143" t="s">
        <v>0</v>
      </c>
      <c r="W4" s="101" t="s">
        <v>0</v>
      </c>
      <c r="X4" s="101" t="s">
        <v>0</v>
      </c>
      <c r="Y4" s="101" t="s">
        <v>0</v>
      </c>
      <c r="Z4" s="101" t="s">
        <v>0</v>
      </c>
      <c r="AA4" s="101">
        <v>2018</v>
      </c>
      <c r="AB4" s="101">
        <v>2018</v>
      </c>
      <c r="AC4" s="101">
        <v>2018</v>
      </c>
      <c r="AD4" s="101">
        <v>2018</v>
      </c>
      <c r="AE4" s="101">
        <v>2018</v>
      </c>
      <c r="AF4" s="101">
        <v>2018</v>
      </c>
      <c r="AG4" s="101">
        <v>2018</v>
      </c>
      <c r="AH4" s="101">
        <v>2018</v>
      </c>
      <c r="AI4" s="101">
        <v>2018</v>
      </c>
      <c r="AJ4" s="101">
        <v>2018</v>
      </c>
      <c r="AK4" s="101" t="s">
        <v>30</v>
      </c>
      <c r="AL4" s="101" t="s">
        <v>30</v>
      </c>
      <c r="AM4" s="101" t="s">
        <v>30</v>
      </c>
      <c r="AN4" s="101" t="s">
        <v>30</v>
      </c>
      <c r="AO4" s="102" t="s">
        <v>30</v>
      </c>
      <c r="AP4" s="142">
        <v>2019</v>
      </c>
      <c r="AQ4" s="142">
        <v>2019</v>
      </c>
      <c r="AR4" s="142">
        <v>2019</v>
      </c>
      <c r="AS4" s="142">
        <v>2019</v>
      </c>
      <c r="AT4" s="142">
        <v>2019</v>
      </c>
      <c r="AU4" s="142">
        <v>2020</v>
      </c>
      <c r="AV4" s="142">
        <v>2020</v>
      </c>
      <c r="AW4" s="142">
        <v>2020</v>
      </c>
      <c r="AX4" s="142">
        <v>2020</v>
      </c>
      <c r="AY4" s="142">
        <v>2020</v>
      </c>
    </row>
    <row r="5" spans="1:51" x14ac:dyDescent="0.25">
      <c r="A5" s="144" t="s">
        <v>1</v>
      </c>
      <c r="B5" s="46">
        <v>4184409</v>
      </c>
      <c r="C5" s="46">
        <v>4003599</v>
      </c>
      <c r="D5" s="46">
        <v>147124</v>
      </c>
      <c r="E5" s="46">
        <v>29243</v>
      </c>
      <c r="F5" s="46">
        <v>4443</v>
      </c>
      <c r="G5" s="46">
        <v>4237691</v>
      </c>
      <c r="H5" s="46">
        <v>4055946</v>
      </c>
      <c r="I5" s="46">
        <v>148002</v>
      </c>
      <c r="J5" s="46">
        <v>29280</v>
      </c>
      <c r="K5" s="46">
        <v>4463</v>
      </c>
      <c r="L5" s="145">
        <f>G5/B5</f>
        <v>1.012733458894673</v>
      </c>
      <c r="M5" s="145">
        <f>H5/C5</f>
        <v>1.0130749857815431</v>
      </c>
      <c r="N5" s="145">
        <f>I5/D5</f>
        <v>1.0059677550909436</v>
      </c>
      <c r="O5" s="145">
        <f>J5/E5</f>
        <v>1.0012652600622372</v>
      </c>
      <c r="P5" s="145">
        <f>K5/F5</f>
        <v>1.0045014629754669</v>
      </c>
      <c r="Q5" s="46">
        <v>4309800</v>
      </c>
      <c r="R5" s="46">
        <v>4128611</v>
      </c>
      <c r="S5" s="46">
        <v>147607</v>
      </c>
      <c r="T5" s="46">
        <v>29154</v>
      </c>
      <c r="U5" s="46">
        <v>4428</v>
      </c>
      <c r="V5" s="145">
        <f>Q5/G5</f>
        <v>1.0170161061766891</v>
      </c>
      <c r="W5" s="145">
        <f>R5/H5</f>
        <v>1.0179156724473155</v>
      </c>
      <c r="X5" s="145">
        <f>S5/I5</f>
        <v>0.99733111714706557</v>
      </c>
      <c r="Y5" s="145">
        <f>T5/J5</f>
        <v>0.99569672131147546</v>
      </c>
      <c r="Z5" s="145">
        <f>U5/K5</f>
        <v>0.99215774142953173</v>
      </c>
      <c r="AA5" s="46">
        <v>4365375</v>
      </c>
      <c r="AB5" s="46">
        <v>4192778</v>
      </c>
      <c r="AC5" s="46">
        <v>139995</v>
      </c>
      <c r="AD5" s="46">
        <v>28267</v>
      </c>
      <c r="AE5" s="46">
        <v>4335</v>
      </c>
      <c r="AF5" s="145">
        <f>AA5/Q5</f>
        <v>1.0128950299317834</v>
      </c>
      <c r="AG5" s="145">
        <f>AB5/R5</f>
        <v>1.0155420309639247</v>
      </c>
      <c r="AH5" s="145">
        <f>AC5/S5</f>
        <v>0.94843062998367289</v>
      </c>
      <c r="AI5" s="145">
        <f>AD5/T5</f>
        <v>0.96957535844138021</v>
      </c>
      <c r="AJ5" s="145">
        <f>AE5/U5</f>
        <v>0.9789972899728997</v>
      </c>
      <c r="AK5" s="46">
        <v>4505001</v>
      </c>
      <c r="AL5" s="46">
        <v>4334687</v>
      </c>
      <c r="AM5" s="46">
        <v>138071</v>
      </c>
      <c r="AN5" s="46">
        <v>27932</v>
      </c>
      <c r="AO5" s="48">
        <v>4311</v>
      </c>
      <c r="AP5" s="145">
        <f>AK5/AA5</f>
        <v>1.0319848810239669</v>
      </c>
      <c r="AQ5" s="145">
        <f>AL5/AB5</f>
        <v>1.0338460562424245</v>
      </c>
      <c r="AR5" s="145">
        <f>AM5/AC5</f>
        <v>0.9862566520232865</v>
      </c>
      <c r="AS5" s="145">
        <f>AN5/AD5</f>
        <v>0.9881487246612658</v>
      </c>
      <c r="AT5" s="145">
        <f>AO5/AE5</f>
        <v>0.99446366782006923</v>
      </c>
      <c r="AU5" s="145">
        <f>AVERAGE(AP5,AF5,V5,L5)</f>
        <v>1.0186573690067782</v>
      </c>
      <c r="AV5" s="145">
        <f>AVERAGE(AQ5,AG5,W5,M5)</f>
        <v>1.0200946863588021</v>
      </c>
      <c r="AW5" s="145">
        <f>AVERAGE(AR5,AH5,X5,N5)</f>
        <v>0.98449653856124208</v>
      </c>
      <c r="AX5" s="145">
        <f>AVERAGE(AS5,AI5,Y5,O5)</f>
        <v>0.98867151611908966</v>
      </c>
      <c r="AY5" s="145">
        <f>AVERAGE(AT5,AJ5,Z5,P5)</f>
        <v>0.9925300405494919</v>
      </c>
    </row>
    <row r="6" spans="1:51" x14ac:dyDescent="0.25">
      <c r="A6" s="144" t="s">
        <v>2</v>
      </c>
      <c r="B6" s="46">
        <v>357102</v>
      </c>
      <c r="C6" s="46">
        <v>344313</v>
      </c>
      <c r="D6" s="46">
        <v>10317</v>
      </c>
      <c r="E6" s="46">
        <v>2112</v>
      </c>
      <c r="F6" s="46">
        <v>360</v>
      </c>
      <c r="G6" s="46">
        <v>361307</v>
      </c>
      <c r="H6" s="46">
        <v>348517</v>
      </c>
      <c r="I6" s="46">
        <v>10318</v>
      </c>
      <c r="J6" s="46">
        <v>2111</v>
      </c>
      <c r="K6" s="46">
        <v>361</v>
      </c>
      <c r="L6" s="145">
        <f t="shared" ref="L6:L21" si="0">G6/B6</f>
        <v>1.0117753470997082</v>
      </c>
      <c r="M6" s="145">
        <f t="shared" ref="M6:M21" si="1">H6/C6</f>
        <v>1.0122098207154537</v>
      </c>
      <c r="N6" s="145">
        <f t="shared" ref="N6:N20" si="2">I6/D6</f>
        <v>1.0000969274013765</v>
      </c>
      <c r="O6" s="145">
        <f t="shared" ref="O6:O20" si="3">J6/E6</f>
        <v>0.99952651515151514</v>
      </c>
      <c r="P6" s="145">
        <f t="shared" ref="P6:P20" si="4">K6/F6</f>
        <v>1.0027777777777778</v>
      </c>
      <c r="Q6" s="46">
        <v>368811</v>
      </c>
      <c r="R6" s="46">
        <v>356120</v>
      </c>
      <c r="S6" s="46">
        <v>10208</v>
      </c>
      <c r="T6" s="46">
        <v>2118</v>
      </c>
      <c r="U6" s="46">
        <v>365</v>
      </c>
      <c r="V6" s="145">
        <f t="shared" ref="V6:V21" si="5">Q6/G6</f>
        <v>1.0207690412862191</v>
      </c>
      <c r="W6" s="145">
        <f t="shared" ref="W6:W21" si="6">R6/H6</f>
        <v>1.0218152916500487</v>
      </c>
      <c r="X6" s="145">
        <f t="shared" ref="X6:X21" si="7">S6/I6</f>
        <v>0.98933901918976541</v>
      </c>
      <c r="Y6" s="145">
        <f t="shared" ref="Y6:Y21" si="8">T6/J6</f>
        <v>1.0033159639981051</v>
      </c>
      <c r="Z6" s="145">
        <f t="shared" ref="Z6:Z21" si="9">U6/K6</f>
        <v>1.0110803324099722</v>
      </c>
      <c r="AA6" s="46">
        <v>375294</v>
      </c>
      <c r="AB6" s="46">
        <v>362798</v>
      </c>
      <c r="AC6" s="46">
        <v>10038</v>
      </c>
      <c r="AD6" s="46">
        <v>2101</v>
      </c>
      <c r="AE6" s="46">
        <v>357</v>
      </c>
      <c r="AF6" s="145">
        <f t="shared" ref="AF6:AF21" si="10">AA6/Q6</f>
        <v>1.0175781091127976</v>
      </c>
      <c r="AG6" s="145">
        <f t="shared" ref="AG6:AG21" si="11">AB6/R6</f>
        <v>1.0187521060316747</v>
      </c>
      <c r="AH6" s="145">
        <f t="shared" ref="AH6:AH21" si="12">AC6/S6</f>
        <v>0.98334639498432597</v>
      </c>
      <c r="AI6" s="145">
        <f t="shared" ref="AI6:AI21" si="13">AD6/T6</f>
        <v>0.99197355996222847</v>
      </c>
      <c r="AJ6" s="145">
        <f t="shared" ref="AJ6:AJ21" si="14">AE6/U6</f>
        <v>0.9780821917808219</v>
      </c>
      <c r="AK6" s="46">
        <v>387563</v>
      </c>
      <c r="AL6" s="46">
        <v>375308</v>
      </c>
      <c r="AM6" s="46">
        <v>9831</v>
      </c>
      <c r="AN6" s="46">
        <v>2068</v>
      </c>
      <c r="AO6" s="48">
        <v>356</v>
      </c>
      <c r="AP6" s="145">
        <f t="shared" ref="AP6:AP21" si="15">AK6/AA6</f>
        <v>1.0326917030381515</v>
      </c>
      <c r="AQ6" s="145">
        <f t="shared" ref="AQ6:AQ21" si="16">AL6/AB6</f>
        <v>1.0344819982469584</v>
      </c>
      <c r="AR6" s="145">
        <f t="shared" ref="AR6:AR21" si="17">AM6/AC6</f>
        <v>0.97937836222355046</v>
      </c>
      <c r="AS6" s="145">
        <f t="shared" ref="AS6:AS20" si="18">AN6/AD6</f>
        <v>0.98429319371727753</v>
      </c>
      <c r="AT6" s="145">
        <f t="shared" ref="AT6:AT21" si="19">AO6/AE6</f>
        <v>0.99719887955182074</v>
      </c>
      <c r="AU6" s="145">
        <f t="shared" ref="AU6:AU21" si="20">AVERAGE(AP6,AF6,V6,L6)</f>
        <v>1.0207035501342192</v>
      </c>
      <c r="AV6" s="145">
        <f t="shared" ref="AV6:AV21" si="21">AVERAGE(AQ6,AG6,W6,M6)</f>
        <v>1.0218148041610338</v>
      </c>
      <c r="AW6" s="145">
        <f t="shared" ref="AW6:AW21" si="22">AVERAGE(AR6,AH6,X6,N6)</f>
        <v>0.98804017594975457</v>
      </c>
      <c r="AX6" s="145">
        <f t="shared" ref="AX6:AX21" si="23">AVERAGE(AS6,AI6,Y6,O6)</f>
        <v>0.99477730820728161</v>
      </c>
      <c r="AY6" s="145">
        <f t="shared" ref="AY6:AY21" si="24">AVERAGE(AT6,AJ6,Z6,P6)</f>
        <v>0.99728479538009818</v>
      </c>
    </row>
    <row r="7" spans="1:51" x14ac:dyDescent="0.25">
      <c r="A7" s="144" t="s">
        <v>3</v>
      </c>
      <c r="B7" s="46">
        <v>193470</v>
      </c>
      <c r="C7" s="46">
        <v>184709</v>
      </c>
      <c r="D7" s="46">
        <v>6988</v>
      </c>
      <c r="E7" s="46">
        <v>1558</v>
      </c>
      <c r="F7" s="46">
        <v>215</v>
      </c>
      <c r="G7" s="46">
        <v>194099</v>
      </c>
      <c r="H7" s="46">
        <v>185323</v>
      </c>
      <c r="I7" s="46">
        <v>7001</v>
      </c>
      <c r="J7" s="46">
        <v>1554</v>
      </c>
      <c r="K7" s="46">
        <v>221</v>
      </c>
      <c r="L7" s="145">
        <f t="shared" si="0"/>
        <v>1.0032511500491033</v>
      </c>
      <c r="M7" s="145">
        <f t="shared" si="1"/>
        <v>1.0033241477134303</v>
      </c>
      <c r="N7" s="145">
        <f t="shared" si="2"/>
        <v>1.0018603319977104</v>
      </c>
      <c r="O7" s="145">
        <f t="shared" si="3"/>
        <v>0.99743260590500638</v>
      </c>
      <c r="P7" s="145">
        <f t="shared" si="4"/>
        <v>1.027906976744186</v>
      </c>
      <c r="Q7" s="46">
        <v>195717</v>
      </c>
      <c r="R7" s="46">
        <v>186964</v>
      </c>
      <c r="S7" s="46">
        <v>6995</v>
      </c>
      <c r="T7" s="46">
        <v>1537</v>
      </c>
      <c r="U7" s="46">
        <v>221</v>
      </c>
      <c r="V7" s="145">
        <f t="shared" si="5"/>
        <v>1.0083359522717787</v>
      </c>
      <c r="W7" s="145">
        <f t="shared" si="6"/>
        <v>1.0088548102502117</v>
      </c>
      <c r="X7" s="145">
        <f t="shared" si="7"/>
        <v>0.9991429795743465</v>
      </c>
      <c r="Y7" s="145">
        <f t="shared" si="8"/>
        <v>0.98906048906048905</v>
      </c>
      <c r="Z7" s="145">
        <f t="shared" si="9"/>
        <v>1</v>
      </c>
      <c r="AA7" s="46">
        <v>197657</v>
      </c>
      <c r="AB7" s="46">
        <v>189096</v>
      </c>
      <c r="AC7" s="46">
        <v>6841</v>
      </c>
      <c r="AD7" s="46">
        <v>1503</v>
      </c>
      <c r="AE7" s="46">
        <v>217</v>
      </c>
      <c r="AF7" s="145">
        <f t="shared" si="10"/>
        <v>1.0099122712896682</v>
      </c>
      <c r="AG7" s="145">
        <f t="shared" si="11"/>
        <v>1.0114032647996405</v>
      </c>
      <c r="AH7" s="145">
        <f t="shared" si="12"/>
        <v>0.97798427448177272</v>
      </c>
      <c r="AI7" s="145">
        <f t="shared" si="13"/>
        <v>0.97787898503578397</v>
      </c>
      <c r="AJ7" s="145">
        <f t="shared" si="14"/>
        <v>0.98190045248868774</v>
      </c>
      <c r="AK7" s="46">
        <v>203706</v>
      </c>
      <c r="AL7" s="46">
        <v>195266</v>
      </c>
      <c r="AM7" s="46">
        <v>6763</v>
      </c>
      <c r="AN7" s="46">
        <v>1464</v>
      </c>
      <c r="AO7" s="48">
        <v>213</v>
      </c>
      <c r="AP7" s="145">
        <f t="shared" si="15"/>
        <v>1.0306035202396069</v>
      </c>
      <c r="AQ7" s="145">
        <f t="shared" si="16"/>
        <v>1.0326289292211364</v>
      </c>
      <c r="AR7" s="145">
        <f t="shared" si="17"/>
        <v>0.98859815816401109</v>
      </c>
      <c r="AS7" s="145">
        <f t="shared" si="18"/>
        <v>0.97405189620758481</v>
      </c>
      <c r="AT7" s="145">
        <f t="shared" si="19"/>
        <v>0.98156682027649766</v>
      </c>
      <c r="AU7" s="145">
        <f t="shared" si="20"/>
        <v>1.0130257234625393</v>
      </c>
      <c r="AV7" s="145">
        <f t="shared" si="21"/>
        <v>1.0140527879961048</v>
      </c>
      <c r="AW7" s="145">
        <f t="shared" si="22"/>
        <v>0.99189643605446021</v>
      </c>
      <c r="AX7" s="145">
        <f t="shared" si="23"/>
        <v>0.98460599405221616</v>
      </c>
      <c r="AY7" s="145">
        <f t="shared" si="24"/>
        <v>0.99784356237734273</v>
      </c>
    </row>
    <row r="8" spans="1:51" x14ac:dyDescent="0.25">
      <c r="A8" s="144" t="s">
        <v>4</v>
      </c>
      <c r="B8" s="46">
        <v>173184</v>
      </c>
      <c r="C8" s="46">
        <v>166102</v>
      </c>
      <c r="D8" s="46">
        <v>5724</v>
      </c>
      <c r="E8" s="46">
        <v>1223</v>
      </c>
      <c r="F8" s="46">
        <v>135</v>
      </c>
      <c r="G8" s="46">
        <v>174123</v>
      </c>
      <c r="H8" s="46">
        <v>167016</v>
      </c>
      <c r="I8" s="46">
        <v>5743</v>
      </c>
      <c r="J8" s="46">
        <v>1230</v>
      </c>
      <c r="K8" s="46">
        <v>134</v>
      </c>
      <c r="L8" s="145">
        <f t="shared" si="0"/>
        <v>1.0054219789356984</v>
      </c>
      <c r="M8" s="145">
        <f t="shared" si="1"/>
        <v>1.0055026429543292</v>
      </c>
      <c r="N8" s="145">
        <f t="shared" si="2"/>
        <v>1.003319357092942</v>
      </c>
      <c r="O8" s="145">
        <f t="shared" si="3"/>
        <v>1.0057236304170074</v>
      </c>
      <c r="P8" s="145">
        <f t="shared" si="4"/>
        <v>0.99259259259259258</v>
      </c>
      <c r="Q8" s="46">
        <v>177365</v>
      </c>
      <c r="R8" s="46">
        <v>170316</v>
      </c>
      <c r="S8" s="46">
        <v>5712</v>
      </c>
      <c r="T8" s="46">
        <v>1204</v>
      </c>
      <c r="U8" s="46">
        <v>133</v>
      </c>
      <c r="V8" s="145">
        <f t="shared" si="5"/>
        <v>1.0186190221854665</v>
      </c>
      <c r="W8" s="145">
        <f t="shared" si="6"/>
        <v>1.0197585860037361</v>
      </c>
      <c r="X8" s="145">
        <f t="shared" si="7"/>
        <v>0.99460212432526551</v>
      </c>
      <c r="Y8" s="145">
        <f t="shared" si="8"/>
        <v>0.9788617886178862</v>
      </c>
      <c r="Z8" s="145">
        <f t="shared" si="9"/>
        <v>0.9925373134328358</v>
      </c>
      <c r="AA8" s="46">
        <v>180805</v>
      </c>
      <c r="AB8" s="46">
        <v>173871</v>
      </c>
      <c r="AC8" s="46">
        <v>5615</v>
      </c>
      <c r="AD8" s="46">
        <v>1190</v>
      </c>
      <c r="AE8" s="46">
        <v>129</v>
      </c>
      <c r="AF8" s="145">
        <f t="shared" si="10"/>
        <v>1.0193950328418797</v>
      </c>
      <c r="AG8" s="145">
        <f t="shared" si="11"/>
        <v>1.0208729655463962</v>
      </c>
      <c r="AH8" s="145">
        <f t="shared" si="12"/>
        <v>0.98301820728291311</v>
      </c>
      <c r="AI8" s="145">
        <f t="shared" si="13"/>
        <v>0.98837209302325579</v>
      </c>
      <c r="AJ8" s="145">
        <f t="shared" si="14"/>
        <v>0.96992481203007519</v>
      </c>
      <c r="AK8" s="46">
        <v>185686</v>
      </c>
      <c r="AL8" s="46">
        <v>178944</v>
      </c>
      <c r="AM8" s="46">
        <v>5451</v>
      </c>
      <c r="AN8" s="46">
        <v>1163</v>
      </c>
      <c r="AO8" s="48">
        <v>128</v>
      </c>
      <c r="AP8" s="145">
        <f t="shared" si="15"/>
        <v>1.0269959348469346</v>
      </c>
      <c r="AQ8" s="145">
        <f t="shared" si="16"/>
        <v>1.0291768034922442</v>
      </c>
      <c r="AR8" s="145">
        <f t="shared" si="17"/>
        <v>0.97079252003561889</v>
      </c>
      <c r="AS8" s="145">
        <f t="shared" si="18"/>
        <v>0.97731092436974787</v>
      </c>
      <c r="AT8" s="145">
        <f t="shared" si="19"/>
        <v>0.99224806201550386</v>
      </c>
      <c r="AU8" s="145">
        <f t="shared" si="20"/>
        <v>1.0176079922024948</v>
      </c>
      <c r="AV8" s="145">
        <f t="shared" si="21"/>
        <v>1.0188277494991764</v>
      </c>
      <c r="AW8" s="145">
        <f t="shared" si="22"/>
        <v>0.98793305218418492</v>
      </c>
      <c r="AX8" s="145">
        <f t="shared" si="23"/>
        <v>0.98756710910697443</v>
      </c>
      <c r="AY8" s="145">
        <f t="shared" si="24"/>
        <v>0.98682569501775186</v>
      </c>
    </row>
    <row r="9" spans="1:51" x14ac:dyDescent="0.25">
      <c r="A9" s="144" t="s">
        <v>5</v>
      </c>
      <c r="B9" s="46">
        <v>111272</v>
      </c>
      <c r="C9" s="46">
        <v>106594</v>
      </c>
      <c r="D9" s="46">
        <v>3848</v>
      </c>
      <c r="E9" s="46">
        <v>739</v>
      </c>
      <c r="F9" s="46">
        <v>91</v>
      </c>
      <c r="G9" s="46">
        <v>111756</v>
      </c>
      <c r="H9" s="46">
        <v>107032</v>
      </c>
      <c r="I9" s="46">
        <v>3882</v>
      </c>
      <c r="J9" s="46">
        <v>752</v>
      </c>
      <c r="K9" s="46">
        <v>90</v>
      </c>
      <c r="L9" s="145">
        <f t="shared" si="0"/>
        <v>1.0043497016320369</v>
      </c>
      <c r="M9" s="145">
        <f t="shared" si="1"/>
        <v>1.0041090492898288</v>
      </c>
      <c r="N9" s="145">
        <f t="shared" si="2"/>
        <v>1.0088357588357588</v>
      </c>
      <c r="O9" s="145">
        <f t="shared" si="3"/>
        <v>1.0175913396481733</v>
      </c>
      <c r="P9" s="145">
        <f t="shared" si="4"/>
        <v>0.98901098901098905</v>
      </c>
      <c r="Q9" s="46">
        <v>112910</v>
      </c>
      <c r="R9" s="46">
        <v>108290</v>
      </c>
      <c r="S9" s="46">
        <v>3808</v>
      </c>
      <c r="T9" s="46">
        <v>725</v>
      </c>
      <c r="U9" s="46">
        <v>87</v>
      </c>
      <c r="V9" s="145">
        <f t="shared" si="5"/>
        <v>1.0103260675042056</v>
      </c>
      <c r="W9" s="145">
        <f t="shared" si="6"/>
        <v>1.0117534942820838</v>
      </c>
      <c r="X9" s="145">
        <f t="shared" si="7"/>
        <v>0.98093766099948476</v>
      </c>
      <c r="Y9" s="145">
        <f t="shared" si="8"/>
        <v>0.96409574468085102</v>
      </c>
      <c r="Z9" s="145">
        <f t="shared" si="9"/>
        <v>0.96666666666666667</v>
      </c>
      <c r="AA9" s="46">
        <v>113277</v>
      </c>
      <c r="AB9" s="46">
        <v>108897</v>
      </c>
      <c r="AC9" s="46">
        <v>3562</v>
      </c>
      <c r="AD9" s="46">
        <v>731</v>
      </c>
      <c r="AE9" s="46">
        <v>87</v>
      </c>
      <c r="AF9" s="145">
        <f t="shared" si="10"/>
        <v>1.003250376405987</v>
      </c>
      <c r="AG9" s="145">
        <f t="shared" si="11"/>
        <v>1.0056053190506973</v>
      </c>
      <c r="AH9" s="145">
        <f t="shared" si="12"/>
        <v>0.93539915966386555</v>
      </c>
      <c r="AI9" s="145">
        <f t="shared" si="13"/>
        <v>1.0082758620689656</v>
      </c>
      <c r="AJ9" s="145">
        <f t="shared" si="14"/>
        <v>1</v>
      </c>
      <c r="AK9" s="46">
        <v>117021</v>
      </c>
      <c r="AL9" s="46">
        <v>112700</v>
      </c>
      <c r="AM9" s="46">
        <v>3508</v>
      </c>
      <c r="AN9" s="46">
        <v>726</v>
      </c>
      <c r="AO9" s="48">
        <v>87</v>
      </c>
      <c r="AP9" s="145">
        <f t="shared" si="15"/>
        <v>1.0330517227680818</v>
      </c>
      <c r="AQ9" s="145">
        <f t="shared" si="16"/>
        <v>1.0349229088037319</v>
      </c>
      <c r="AR9" s="145">
        <f t="shared" si="17"/>
        <v>0.98483997754070751</v>
      </c>
      <c r="AS9" s="145">
        <f t="shared" si="18"/>
        <v>0.99316005471956226</v>
      </c>
      <c r="AT9" s="145">
        <f t="shared" si="19"/>
        <v>1</v>
      </c>
      <c r="AU9" s="145">
        <f t="shared" si="20"/>
        <v>1.012744467077578</v>
      </c>
      <c r="AV9" s="145">
        <f t="shared" si="21"/>
        <v>1.0140976928565855</v>
      </c>
      <c r="AW9" s="145">
        <f t="shared" si="22"/>
        <v>0.97750313925995425</v>
      </c>
      <c r="AX9" s="145">
        <f t="shared" si="23"/>
        <v>0.99578075027938806</v>
      </c>
      <c r="AY9" s="145">
        <f t="shared" si="24"/>
        <v>0.98891941391941396</v>
      </c>
    </row>
    <row r="10" spans="1:51" x14ac:dyDescent="0.25">
      <c r="A10" s="144" t="s">
        <v>6</v>
      </c>
      <c r="B10" s="46">
        <v>241462</v>
      </c>
      <c r="C10" s="46">
        <v>229813</v>
      </c>
      <c r="D10" s="46">
        <v>9609</v>
      </c>
      <c r="E10" s="46">
        <v>1786</v>
      </c>
      <c r="F10" s="46">
        <v>254</v>
      </c>
      <c r="G10" s="46">
        <v>243280</v>
      </c>
      <c r="H10" s="46">
        <v>231628</v>
      </c>
      <c r="I10" s="46">
        <v>9619</v>
      </c>
      <c r="J10" s="46">
        <v>1781</v>
      </c>
      <c r="K10" s="46">
        <v>252</v>
      </c>
      <c r="L10" s="145">
        <f t="shared" si="0"/>
        <v>1.0075291350191748</v>
      </c>
      <c r="M10" s="145">
        <f t="shared" si="1"/>
        <v>1.0078977255420711</v>
      </c>
      <c r="N10" s="145">
        <f t="shared" si="2"/>
        <v>1.0010406910188365</v>
      </c>
      <c r="O10" s="145">
        <f t="shared" si="3"/>
        <v>0.99720044792833151</v>
      </c>
      <c r="P10" s="145">
        <f t="shared" si="4"/>
        <v>0.99212598425196852</v>
      </c>
      <c r="Q10" s="46">
        <v>245855</v>
      </c>
      <c r="R10" s="46">
        <v>234318</v>
      </c>
      <c r="S10" s="46">
        <v>9524</v>
      </c>
      <c r="T10" s="46">
        <v>1765</v>
      </c>
      <c r="U10" s="46">
        <v>248</v>
      </c>
      <c r="V10" s="145">
        <f t="shared" si="5"/>
        <v>1.0105845116737915</v>
      </c>
      <c r="W10" s="145">
        <f t="shared" si="6"/>
        <v>1.0116134491512252</v>
      </c>
      <c r="X10" s="145">
        <f t="shared" si="7"/>
        <v>0.99012371348373007</v>
      </c>
      <c r="Y10" s="145">
        <f t="shared" si="8"/>
        <v>0.99101628298708588</v>
      </c>
      <c r="Z10" s="145">
        <f t="shared" si="9"/>
        <v>0.98412698412698407</v>
      </c>
      <c r="AA10" s="46">
        <v>247502</v>
      </c>
      <c r="AB10" s="46">
        <v>236456</v>
      </c>
      <c r="AC10" s="46">
        <v>9097</v>
      </c>
      <c r="AD10" s="46">
        <v>1709</v>
      </c>
      <c r="AE10" s="46">
        <v>240</v>
      </c>
      <c r="AF10" s="145">
        <f t="shared" si="10"/>
        <v>1.0066990705903887</v>
      </c>
      <c r="AG10" s="145">
        <f t="shared" si="11"/>
        <v>1.0091243523758311</v>
      </c>
      <c r="AH10" s="145">
        <f t="shared" si="12"/>
        <v>0.95516589668206631</v>
      </c>
      <c r="AI10" s="145">
        <f t="shared" si="13"/>
        <v>0.968271954674221</v>
      </c>
      <c r="AJ10" s="145">
        <f t="shared" si="14"/>
        <v>0.967741935483871</v>
      </c>
      <c r="AK10" s="46">
        <v>254387</v>
      </c>
      <c r="AL10" s="46">
        <v>243545</v>
      </c>
      <c r="AM10" s="46">
        <v>8927</v>
      </c>
      <c r="AN10" s="46">
        <v>1676</v>
      </c>
      <c r="AO10" s="48">
        <v>239</v>
      </c>
      <c r="AP10" s="145">
        <f t="shared" si="15"/>
        <v>1.0278179570266099</v>
      </c>
      <c r="AQ10" s="145">
        <f t="shared" si="16"/>
        <v>1.0299802077342084</v>
      </c>
      <c r="AR10" s="145">
        <f t="shared" si="17"/>
        <v>0.98131252061119045</v>
      </c>
      <c r="AS10" s="145">
        <f t="shared" si="18"/>
        <v>0.98069046225863077</v>
      </c>
      <c r="AT10" s="145">
        <f t="shared" si="19"/>
        <v>0.99583333333333335</v>
      </c>
      <c r="AU10" s="145">
        <f t="shared" si="20"/>
        <v>1.0131576685774912</v>
      </c>
      <c r="AV10" s="145">
        <f t="shared" si="21"/>
        <v>1.014653933700834</v>
      </c>
      <c r="AW10" s="145">
        <f t="shared" si="22"/>
        <v>0.98191070544895587</v>
      </c>
      <c r="AX10" s="145">
        <f t="shared" si="23"/>
        <v>0.98429478696206729</v>
      </c>
      <c r="AY10" s="145">
        <f t="shared" si="24"/>
        <v>0.98495705929903921</v>
      </c>
    </row>
    <row r="11" spans="1:51" x14ac:dyDescent="0.25">
      <c r="A11" s="144" t="s">
        <v>7</v>
      </c>
      <c r="B11" s="46">
        <v>363883</v>
      </c>
      <c r="C11" s="46">
        <v>347983</v>
      </c>
      <c r="D11" s="46">
        <v>13171</v>
      </c>
      <c r="E11" s="46">
        <v>2383</v>
      </c>
      <c r="F11" s="46">
        <v>346</v>
      </c>
      <c r="G11" s="46">
        <v>371107</v>
      </c>
      <c r="H11" s="46">
        <v>355066</v>
      </c>
      <c r="I11" s="46">
        <v>13304</v>
      </c>
      <c r="J11" s="46">
        <v>2387</v>
      </c>
      <c r="K11" s="46">
        <v>350</v>
      </c>
      <c r="L11" s="145">
        <f t="shared" si="0"/>
        <v>1.019852535018124</v>
      </c>
      <c r="M11" s="145">
        <f t="shared" si="1"/>
        <v>1.0203544426020812</v>
      </c>
      <c r="N11" s="145">
        <f t="shared" si="2"/>
        <v>1.0100979424493204</v>
      </c>
      <c r="O11" s="145">
        <f t="shared" si="3"/>
        <v>1.0016785564414603</v>
      </c>
      <c r="P11" s="145">
        <f t="shared" si="4"/>
        <v>1.0115606936416186</v>
      </c>
      <c r="Q11" s="46">
        <v>380020</v>
      </c>
      <c r="R11" s="46">
        <v>364142</v>
      </c>
      <c r="S11" s="46">
        <v>13149</v>
      </c>
      <c r="T11" s="46">
        <v>2385</v>
      </c>
      <c r="U11" s="46">
        <v>344</v>
      </c>
      <c r="V11" s="145">
        <f t="shared" si="5"/>
        <v>1.0240173319285273</v>
      </c>
      <c r="W11" s="145">
        <f t="shared" si="6"/>
        <v>1.0255614449144665</v>
      </c>
      <c r="X11" s="145">
        <f t="shared" si="7"/>
        <v>0.98834936861094402</v>
      </c>
      <c r="Y11" s="145">
        <f t="shared" si="8"/>
        <v>0.99916212819438621</v>
      </c>
      <c r="Z11" s="145">
        <f t="shared" si="9"/>
        <v>0.98285714285714287</v>
      </c>
      <c r="AA11" s="46">
        <v>391539</v>
      </c>
      <c r="AB11" s="46">
        <v>376454</v>
      </c>
      <c r="AC11" s="46">
        <v>12449</v>
      </c>
      <c r="AD11" s="46">
        <v>2293</v>
      </c>
      <c r="AE11" s="46">
        <v>343</v>
      </c>
      <c r="AF11" s="145">
        <f t="shared" si="10"/>
        <v>1.0303115625493395</v>
      </c>
      <c r="AG11" s="145">
        <f t="shared" si="11"/>
        <v>1.0338109858242115</v>
      </c>
      <c r="AH11" s="145">
        <f t="shared" si="12"/>
        <v>0.94676401247243136</v>
      </c>
      <c r="AI11" s="145">
        <f t="shared" si="13"/>
        <v>0.96142557651991611</v>
      </c>
      <c r="AJ11" s="145">
        <f t="shared" si="14"/>
        <v>0.99709302325581395</v>
      </c>
      <c r="AK11" s="46">
        <v>406980</v>
      </c>
      <c r="AL11" s="46">
        <v>392142</v>
      </c>
      <c r="AM11" s="46">
        <v>12248</v>
      </c>
      <c r="AN11" s="46">
        <v>2252</v>
      </c>
      <c r="AO11" s="48">
        <v>338</v>
      </c>
      <c r="AP11" s="145">
        <f t="shared" si="15"/>
        <v>1.0394366844682139</v>
      </c>
      <c r="AQ11" s="145">
        <f t="shared" si="16"/>
        <v>1.0416730862203616</v>
      </c>
      <c r="AR11" s="145">
        <f t="shared" si="17"/>
        <v>0.98385412482930357</v>
      </c>
      <c r="AS11" s="145">
        <f t="shared" si="18"/>
        <v>0.98211949411251631</v>
      </c>
      <c r="AT11" s="145">
        <f t="shared" si="19"/>
        <v>0.98542274052478129</v>
      </c>
      <c r="AU11" s="145">
        <f t="shared" si="20"/>
        <v>1.0284045284910512</v>
      </c>
      <c r="AV11" s="145">
        <f t="shared" si="21"/>
        <v>1.0303499898902804</v>
      </c>
      <c r="AW11" s="145">
        <f t="shared" si="22"/>
        <v>0.98226636209049978</v>
      </c>
      <c r="AX11" s="145">
        <f t="shared" si="23"/>
        <v>0.98609643881706965</v>
      </c>
      <c r="AY11" s="145">
        <f t="shared" si="24"/>
        <v>0.99423340006983918</v>
      </c>
    </row>
    <row r="12" spans="1:51" x14ac:dyDescent="0.25">
      <c r="A12" s="144" t="s">
        <v>8</v>
      </c>
      <c r="B12" s="46">
        <v>766030</v>
      </c>
      <c r="C12" s="46">
        <v>734579</v>
      </c>
      <c r="D12" s="46">
        <v>25342</v>
      </c>
      <c r="E12" s="46">
        <v>5042</v>
      </c>
      <c r="F12" s="46">
        <v>1067</v>
      </c>
      <c r="G12" s="46">
        <v>788008</v>
      </c>
      <c r="H12" s="46">
        <v>756145</v>
      </c>
      <c r="I12" s="46">
        <v>25716</v>
      </c>
      <c r="J12" s="46">
        <v>5066</v>
      </c>
      <c r="K12" s="46">
        <v>1081</v>
      </c>
      <c r="L12" s="145">
        <f t="shared" si="0"/>
        <v>1.0286907823453391</v>
      </c>
      <c r="M12" s="145">
        <f t="shared" si="1"/>
        <v>1.0293583127206196</v>
      </c>
      <c r="N12" s="145">
        <f t="shared" si="2"/>
        <v>1.0147581090679505</v>
      </c>
      <c r="O12" s="145">
        <f t="shared" si="3"/>
        <v>1.0047600158667196</v>
      </c>
      <c r="P12" s="145">
        <f t="shared" si="4"/>
        <v>1.0131208997188379</v>
      </c>
      <c r="Q12" s="46">
        <v>809369</v>
      </c>
      <c r="R12" s="46">
        <v>776988</v>
      </c>
      <c r="S12" s="46">
        <v>26192</v>
      </c>
      <c r="T12" s="46">
        <v>5111</v>
      </c>
      <c r="U12" s="46">
        <v>1078</v>
      </c>
      <c r="V12" s="145">
        <f t="shared" si="5"/>
        <v>1.0271075928163167</v>
      </c>
      <c r="W12" s="145">
        <f t="shared" si="6"/>
        <v>1.0275648189170066</v>
      </c>
      <c r="X12" s="145">
        <f t="shared" si="7"/>
        <v>1.0185098771193031</v>
      </c>
      <c r="Y12" s="145">
        <f t="shared" si="8"/>
        <v>1.0088827477299644</v>
      </c>
      <c r="Z12" s="145">
        <f t="shared" si="9"/>
        <v>0.9972247918593895</v>
      </c>
      <c r="AA12" s="46">
        <v>816423</v>
      </c>
      <c r="AB12" s="46">
        <v>786375</v>
      </c>
      <c r="AC12" s="46">
        <v>24132</v>
      </c>
      <c r="AD12" s="46">
        <v>4871</v>
      </c>
      <c r="AE12" s="46">
        <v>1045</v>
      </c>
      <c r="AF12" s="145">
        <f t="shared" si="10"/>
        <v>1.0087154314039704</v>
      </c>
      <c r="AG12" s="145">
        <f t="shared" si="11"/>
        <v>1.0120812676643656</v>
      </c>
      <c r="AH12" s="145">
        <f t="shared" si="12"/>
        <v>0.92135003054367748</v>
      </c>
      <c r="AI12" s="145">
        <f t="shared" si="13"/>
        <v>0.95304245744472704</v>
      </c>
      <c r="AJ12" s="145">
        <f t="shared" si="14"/>
        <v>0.96938775510204078</v>
      </c>
      <c r="AK12" s="46">
        <v>846686</v>
      </c>
      <c r="AL12" s="46">
        <v>816607</v>
      </c>
      <c r="AM12" s="46">
        <v>24160</v>
      </c>
      <c r="AN12" s="46">
        <v>4880</v>
      </c>
      <c r="AO12" s="48">
        <v>1039</v>
      </c>
      <c r="AP12" s="145">
        <f t="shared" si="15"/>
        <v>1.0370677945133835</v>
      </c>
      <c r="AQ12" s="145">
        <f t="shared" si="16"/>
        <v>1.0384447623589255</v>
      </c>
      <c r="AR12" s="145">
        <f t="shared" si="17"/>
        <v>1.0011602850986243</v>
      </c>
      <c r="AS12" s="145">
        <f t="shared" si="18"/>
        <v>1.001847669882981</v>
      </c>
      <c r="AT12" s="145">
        <f t="shared" si="19"/>
        <v>0.99425837320574162</v>
      </c>
      <c r="AU12" s="145">
        <f t="shared" si="20"/>
        <v>1.0253954002697523</v>
      </c>
      <c r="AV12" s="145">
        <f t="shared" si="21"/>
        <v>1.0268622904152294</v>
      </c>
      <c r="AW12" s="145">
        <f t="shared" si="22"/>
        <v>0.9889445754573889</v>
      </c>
      <c r="AX12" s="145">
        <f t="shared" si="23"/>
        <v>0.99213322273109805</v>
      </c>
      <c r="AY12" s="145">
        <f t="shared" si="24"/>
        <v>0.99349795497150239</v>
      </c>
    </row>
    <row r="13" spans="1:51" x14ac:dyDescent="0.25">
      <c r="A13" s="144" t="s">
        <v>9</v>
      </c>
      <c r="B13" s="46">
        <v>100432</v>
      </c>
      <c r="C13" s="46">
        <v>96244</v>
      </c>
      <c r="D13" s="46">
        <v>3435</v>
      </c>
      <c r="E13" s="46">
        <v>668</v>
      </c>
      <c r="F13" s="46">
        <v>85</v>
      </c>
      <c r="G13" s="46">
        <v>100295</v>
      </c>
      <c r="H13" s="46">
        <v>96108</v>
      </c>
      <c r="I13" s="46">
        <v>3434</v>
      </c>
      <c r="J13" s="46">
        <v>666</v>
      </c>
      <c r="K13" s="46">
        <v>87</v>
      </c>
      <c r="L13" s="145">
        <f t="shared" si="0"/>
        <v>0.99863589294248845</v>
      </c>
      <c r="M13" s="145">
        <f t="shared" si="1"/>
        <v>0.99858692489921452</v>
      </c>
      <c r="N13" s="145">
        <f t="shared" si="2"/>
        <v>0.99970887918486173</v>
      </c>
      <c r="O13" s="145">
        <f t="shared" si="3"/>
        <v>0.99700598802395213</v>
      </c>
      <c r="P13" s="145">
        <f t="shared" si="4"/>
        <v>1.0235294117647058</v>
      </c>
      <c r="Q13" s="46">
        <v>100590</v>
      </c>
      <c r="R13" s="46">
        <v>96424</v>
      </c>
      <c r="S13" s="46">
        <v>3423</v>
      </c>
      <c r="T13" s="46">
        <v>657</v>
      </c>
      <c r="U13" s="46">
        <v>86</v>
      </c>
      <c r="V13" s="145">
        <f t="shared" si="5"/>
        <v>1.0029413230968642</v>
      </c>
      <c r="W13" s="145">
        <f t="shared" si="6"/>
        <v>1.0032879677030009</v>
      </c>
      <c r="X13" s="145">
        <f t="shared" si="7"/>
        <v>0.99679673849737915</v>
      </c>
      <c r="Y13" s="145">
        <f t="shared" si="8"/>
        <v>0.98648648648648651</v>
      </c>
      <c r="Z13" s="145">
        <f t="shared" si="9"/>
        <v>0.9885057471264368</v>
      </c>
      <c r="AA13" s="46">
        <v>100931</v>
      </c>
      <c r="AB13" s="46">
        <v>96822</v>
      </c>
      <c r="AC13" s="46">
        <v>3382</v>
      </c>
      <c r="AD13" s="46">
        <v>641</v>
      </c>
      <c r="AE13" s="46">
        <v>86</v>
      </c>
      <c r="AF13" s="145">
        <f t="shared" si="10"/>
        <v>1.0033899990058655</v>
      </c>
      <c r="AG13" s="145">
        <f t="shared" si="11"/>
        <v>1.0041276030863686</v>
      </c>
      <c r="AH13" s="145">
        <f t="shared" si="12"/>
        <v>0.98802220274612917</v>
      </c>
      <c r="AI13" s="145">
        <f t="shared" si="13"/>
        <v>0.9756468797564688</v>
      </c>
      <c r="AJ13" s="145">
        <f t="shared" si="14"/>
        <v>1</v>
      </c>
      <c r="AK13" s="46">
        <v>103249</v>
      </c>
      <c r="AL13" s="46">
        <v>99212</v>
      </c>
      <c r="AM13" s="46">
        <v>3322</v>
      </c>
      <c r="AN13" s="46">
        <v>631</v>
      </c>
      <c r="AO13" s="48">
        <v>84</v>
      </c>
      <c r="AP13" s="145">
        <f t="shared" si="15"/>
        <v>1.0229661848193321</v>
      </c>
      <c r="AQ13" s="145">
        <f t="shared" si="16"/>
        <v>1.0246844725372333</v>
      </c>
      <c r="AR13" s="145">
        <f t="shared" si="17"/>
        <v>0.98225901833234774</v>
      </c>
      <c r="AS13" s="145">
        <f t="shared" si="18"/>
        <v>0.98439937597503901</v>
      </c>
      <c r="AT13" s="145">
        <f t="shared" si="19"/>
        <v>0.97674418604651159</v>
      </c>
      <c r="AU13" s="145">
        <f t="shared" si="20"/>
        <v>1.0069833499661376</v>
      </c>
      <c r="AV13" s="145">
        <f t="shared" si="21"/>
        <v>1.0076717420564543</v>
      </c>
      <c r="AW13" s="145">
        <f t="shared" si="22"/>
        <v>0.99169670969017942</v>
      </c>
      <c r="AX13" s="145">
        <f t="shared" si="23"/>
        <v>0.98588468256048656</v>
      </c>
      <c r="AY13" s="145">
        <f t="shared" si="24"/>
        <v>0.99719483623441352</v>
      </c>
    </row>
    <row r="14" spans="1:51" x14ac:dyDescent="0.25">
      <c r="A14" s="144" t="s">
        <v>10</v>
      </c>
      <c r="B14" s="46">
        <v>165155</v>
      </c>
      <c r="C14" s="46">
        <v>157787</v>
      </c>
      <c r="D14" s="46">
        <v>5929</v>
      </c>
      <c r="E14" s="46">
        <v>1249</v>
      </c>
      <c r="F14" s="46">
        <v>190</v>
      </c>
      <c r="G14" s="46">
        <v>167749</v>
      </c>
      <c r="H14" s="46">
        <v>160356</v>
      </c>
      <c r="I14" s="46">
        <v>5952</v>
      </c>
      <c r="J14" s="46">
        <v>1251</v>
      </c>
      <c r="K14" s="46">
        <v>190</v>
      </c>
      <c r="L14" s="145">
        <f t="shared" si="0"/>
        <v>1.0157064575701613</v>
      </c>
      <c r="M14" s="145">
        <f t="shared" si="1"/>
        <v>1.0162814427044053</v>
      </c>
      <c r="N14" s="145">
        <f t="shared" si="2"/>
        <v>1.0038792376454715</v>
      </c>
      <c r="O14" s="145">
        <f t="shared" si="3"/>
        <v>1.0016012810248198</v>
      </c>
      <c r="P14" s="145">
        <f t="shared" si="4"/>
        <v>1</v>
      </c>
      <c r="Q14" s="46">
        <v>171070</v>
      </c>
      <c r="R14" s="46">
        <v>163706</v>
      </c>
      <c r="S14" s="46">
        <v>5907</v>
      </c>
      <c r="T14" s="46">
        <v>1272</v>
      </c>
      <c r="U14" s="46">
        <v>185</v>
      </c>
      <c r="V14" s="145">
        <f t="shared" si="5"/>
        <v>1.0197974354541606</v>
      </c>
      <c r="W14" s="145">
        <f t="shared" si="6"/>
        <v>1.0208910174860935</v>
      </c>
      <c r="X14" s="145">
        <f t="shared" si="7"/>
        <v>0.99243951612903225</v>
      </c>
      <c r="Y14" s="145">
        <f t="shared" si="8"/>
        <v>1.0167865707434052</v>
      </c>
      <c r="Z14" s="145">
        <f t="shared" si="9"/>
        <v>0.97368421052631582</v>
      </c>
      <c r="AA14" s="46">
        <v>174830</v>
      </c>
      <c r="AB14" s="46">
        <v>167467</v>
      </c>
      <c r="AC14" s="46">
        <v>5881</v>
      </c>
      <c r="AD14" s="46">
        <v>1298</v>
      </c>
      <c r="AE14" s="46">
        <v>184</v>
      </c>
      <c r="AF14" s="145">
        <f t="shared" si="10"/>
        <v>1.0219793067165488</v>
      </c>
      <c r="AG14" s="145">
        <f t="shared" si="11"/>
        <v>1.0229741121278388</v>
      </c>
      <c r="AH14" s="145">
        <f t="shared" si="12"/>
        <v>0.99559844252581686</v>
      </c>
      <c r="AI14" s="145">
        <f t="shared" si="13"/>
        <v>1.020440251572327</v>
      </c>
      <c r="AJ14" s="145">
        <f t="shared" si="14"/>
        <v>0.99459459459459465</v>
      </c>
      <c r="AK14" s="46">
        <v>180378</v>
      </c>
      <c r="AL14" s="46">
        <v>173155</v>
      </c>
      <c r="AM14" s="46">
        <v>5767</v>
      </c>
      <c r="AN14" s="46">
        <v>1274</v>
      </c>
      <c r="AO14" s="48">
        <v>182</v>
      </c>
      <c r="AP14" s="145">
        <f t="shared" si="15"/>
        <v>1.0317336841503175</v>
      </c>
      <c r="AQ14" s="145">
        <f t="shared" si="16"/>
        <v>1.0339649005475706</v>
      </c>
      <c r="AR14" s="145">
        <f t="shared" si="17"/>
        <v>0.9806155415745621</v>
      </c>
      <c r="AS14" s="145">
        <f t="shared" si="18"/>
        <v>0.9815100154083205</v>
      </c>
      <c r="AT14" s="145">
        <f t="shared" si="19"/>
        <v>0.98913043478260865</v>
      </c>
      <c r="AU14" s="145">
        <f t="shared" si="20"/>
        <v>1.0223042209727971</v>
      </c>
      <c r="AV14" s="145">
        <f t="shared" si="21"/>
        <v>1.023527868216477</v>
      </c>
      <c r="AW14" s="145">
        <f t="shared" si="22"/>
        <v>0.99313318446872079</v>
      </c>
      <c r="AX14" s="145">
        <f t="shared" si="23"/>
        <v>1.0050845296872182</v>
      </c>
      <c r="AY14" s="145">
        <f t="shared" si="24"/>
        <v>0.98935230997587975</v>
      </c>
    </row>
    <row r="15" spans="1:51" x14ac:dyDescent="0.25">
      <c r="A15" s="144" t="s">
        <v>11</v>
      </c>
      <c r="B15" s="46">
        <v>99309</v>
      </c>
      <c r="C15" s="46">
        <v>95459</v>
      </c>
      <c r="D15" s="46">
        <v>3032</v>
      </c>
      <c r="E15" s="46">
        <v>725</v>
      </c>
      <c r="F15" s="46">
        <v>93</v>
      </c>
      <c r="G15" s="46">
        <v>99956</v>
      </c>
      <c r="H15" s="46">
        <v>96097</v>
      </c>
      <c r="I15" s="46">
        <v>3049</v>
      </c>
      <c r="J15" s="46">
        <v>720</v>
      </c>
      <c r="K15" s="46">
        <v>90</v>
      </c>
      <c r="L15" s="145">
        <f t="shared" si="0"/>
        <v>1.0065150187797682</v>
      </c>
      <c r="M15" s="145">
        <f t="shared" si="1"/>
        <v>1.0066834976272536</v>
      </c>
      <c r="N15" s="145">
        <f t="shared" si="2"/>
        <v>1.0056068601583112</v>
      </c>
      <c r="O15" s="145">
        <f t="shared" si="3"/>
        <v>0.99310344827586206</v>
      </c>
      <c r="P15" s="145">
        <f t="shared" si="4"/>
        <v>0.967741935483871</v>
      </c>
      <c r="Q15" s="46">
        <v>101202</v>
      </c>
      <c r="R15" s="46">
        <v>97310</v>
      </c>
      <c r="S15" s="46">
        <v>3062</v>
      </c>
      <c r="T15" s="46">
        <v>742</v>
      </c>
      <c r="U15" s="46">
        <v>88</v>
      </c>
      <c r="V15" s="145">
        <f t="shared" si="5"/>
        <v>1.0124654848133179</v>
      </c>
      <c r="W15" s="145">
        <f t="shared" si="6"/>
        <v>1.0126226625180808</v>
      </c>
      <c r="X15" s="145">
        <f t="shared" si="7"/>
        <v>1.0042636930141029</v>
      </c>
      <c r="Y15" s="145">
        <f t="shared" si="8"/>
        <v>1.0305555555555554</v>
      </c>
      <c r="Z15" s="145">
        <f t="shared" si="9"/>
        <v>0.97777777777777775</v>
      </c>
      <c r="AA15" s="46">
        <v>103040</v>
      </c>
      <c r="AB15" s="46">
        <v>99128</v>
      </c>
      <c r="AC15" s="46">
        <v>3082</v>
      </c>
      <c r="AD15" s="46">
        <v>745</v>
      </c>
      <c r="AE15" s="46">
        <v>85</v>
      </c>
      <c r="AF15" s="145">
        <f t="shared" si="10"/>
        <v>1.0181616964091618</v>
      </c>
      <c r="AG15" s="145">
        <f t="shared" si="11"/>
        <v>1.018682560887884</v>
      </c>
      <c r="AH15" s="145">
        <f t="shared" si="12"/>
        <v>1.0065316786414109</v>
      </c>
      <c r="AI15" s="145">
        <f t="shared" si="13"/>
        <v>1.0040431266846361</v>
      </c>
      <c r="AJ15" s="145">
        <f t="shared" si="14"/>
        <v>0.96590909090909094</v>
      </c>
      <c r="AK15" s="46">
        <v>106714</v>
      </c>
      <c r="AL15" s="46">
        <v>102876</v>
      </c>
      <c r="AM15" s="46">
        <v>3016</v>
      </c>
      <c r="AN15" s="46">
        <v>736</v>
      </c>
      <c r="AO15" s="48">
        <v>86</v>
      </c>
      <c r="AP15" s="145">
        <f t="shared" si="15"/>
        <v>1.0356560559006212</v>
      </c>
      <c r="AQ15" s="145">
        <f t="shared" si="16"/>
        <v>1.0378097005891374</v>
      </c>
      <c r="AR15" s="145">
        <f t="shared" si="17"/>
        <v>0.97858533419857241</v>
      </c>
      <c r="AS15" s="145">
        <f t="shared" si="18"/>
        <v>0.98791946308724832</v>
      </c>
      <c r="AT15" s="145">
        <f t="shared" si="19"/>
        <v>1.0117647058823529</v>
      </c>
      <c r="AU15" s="145">
        <f t="shared" si="20"/>
        <v>1.0181995639757173</v>
      </c>
      <c r="AV15" s="145">
        <f t="shared" si="21"/>
        <v>1.0189496054055889</v>
      </c>
      <c r="AW15" s="145">
        <f t="shared" si="22"/>
        <v>0.99874689150309925</v>
      </c>
      <c r="AX15" s="145">
        <f t="shared" si="23"/>
        <v>1.0039053984008255</v>
      </c>
      <c r="AY15" s="145">
        <f t="shared" si="24"/>
        <v>0.98079837751327315</v>
      </c>
    </row>
    <row r="16" spans="1:51" x14ac:dyDescent="0.25">
      <c r="A16" s="144" t="s">
        <v>12</v>
      </c>
      <c r="B16" s="46">
        <v>281861</v>
      </c>
      <c r="C16" s="46">
        <v>270265</v>
      </c>
      <c r="D16" s="46">
        <v>9416</v>
      </c>
      <c r="E16" s="46">
        <v>1937</v>
      </c>
      <c r="F16" s="46">
        <v>243</v>
      </c>
      <c r="G16" s="46">
        <v>286844</v>
      </c>
      <c r="H16" s="46">
        <v>275223</v>
      </c>
      <c r="I16" s="46">
        <v>9448</v>
      </c>
      <c r="J16" s="46">
        <v>1928</v>
      </c>
      <c r="K16" s="46">
        <v>245</v>
      </c>
      <c r="L16" s="145">
        <f t="shared" si="0"/>
        <v>1.0176789268469211</v>
      </c>
      <c r="M16" s="145">
        <f t="shared" si="1"/>
        <v>1.0183449577266757</v>
      </c>
      <c r="N16" s="145">
        <f t="shared" si="2"/>
        <v>1.0033984706881902</v>
      </c>
      <c r="O16" s="145">
        <f t="shared" si="3"/>
        <v>0.99535363964894163</v>
      </c>
      <c r="P16" s="145">
        <f t="shared" si="4"/>
        <v>1.0082304526748971</v>
      </c>
      <c r="Q16" s="46">
        <v>293704</v>
      </c>
      <c r="R16" s="46">
        <v>282142</v>
      </c>
      <c r="S16" s="46">
        <v>9418</v>
      </c>
      <c r="T16" s="46">
        <v>1902</v>
      </c>
      <c r="U16" s="46">
        <v>242</v>
      </c>
      <c r="V16" s="145">
        <f t="shared" si="5"/>
        <v>1.0239154383567375</v>
      </c>
      <c r="W16" s="145">
        <f t="shared" si="6"/>
        <v>1.0251396140584181</v>
      </c>
      <c r="X16" s="145">
        <f t="shared" si="7"/>
        <v>0.99682472480948348</v>
      </c>
      <c r="Y16" s="145">
        <f t="shared" si="8"/>
        <v>0.98651452282157681</v>
      </c>
      <c r="Z16" s="145">
        <f t="shared" si="9"/>
        <v>0.98775510204081629</v>
      </c>
      <c r="AA16" s="46">
        <v>296630</v>
      </c>
      <c r="AB16" s="46">
        <v>286091</v>
      </c>
      <c r="AC16" s="46">
        <v>8480</v>
      </c>
      <c r="AD16" s="46">
        <v>1822</v>
      </c>
      <c r="AE16" s="46">
        <v>237</v>
      </c>
      <c r="AF16" s="145">
        <f t="shared" si="10"/>
        <v>1.0099624111350203</v>
      </c>
      <c r="AG16" s="145">
        <f t="shared" si="11"/>
        <v>1.0139964982172098</v>
      </c>
      <c r="AH16" s="145">
        <f t="shared" si="12"/>
        <v>0.90040348269271608</v>
      </c>
      <c r="AI16" s="145">
        <f t="shared" si="13"/>
        <v>0.95793901156677186</v>
      </c>
      <c r="AJ16" s="145">
        <f t="shared" si="14"/>
        <v>0.97933884297520657</v>
      </c>
      <c r="AK16" s="46">
        <v>305933</v>
      </c>
      <c r="AL16" s="46">
        <v>295549</v>
      </c>
      <c r="AM16" s="46">
        <v>8360</v>
      </c>
      <c r="AN16" s="46">
        <v>1787</v>
      </c>
      <c r="AO16" s="48">
        <v>237</v>
      </c>
      <c r="AP16" s="145">
        <f t="shared" si="15"/>
        <v>1.0313623032060142</v>
      </c>
      <c r="AQ16" s="145">
        <f t="shared" si="16"/>
        <v>1.0330594111663771</v>
      </c>
      <c r="AR16" s="145">
        <f t="shared" si="17"/>
        <v>0.98584905660377353</v>
      </c>
      <c r="AS16" s="145">
        <f t="shared" si="18"/>
        <v>0.98079034028540069</v>
      </c>
      <c r="AT16" s="145">
        <f t="shared" si="19"/>
        <v>1</v>
      </c>
      <c r="AU16" s="145">
        <f t="shared" si="20"/>
        <v>1.0207297698861733</v>
      </c>
      <c r="AV16" s="145">
        <f t="shared" si="21"/>
        <v>1.0226351202921702</v>
      </c>
      <c r="AW16" s="145">
        <f t="shared" si="22"/>
        <v>0.9716189336985408</v>
      </c>
      <c r="AX16" s="145">
        <f t="shared" si="23"/>
        <v>0.98014937858067275</v>
      </c>
      <c r="AY16" s="145">
        <f t="shared" si="24"/>
        <v>0.99383109942272996</v>
      </c>
    </row>
    <row r="17" spans="1:51" x14ac:dyDescent="0.25">
      <c r="A17" s="144" t="s">
        <v>13</v>
      </c>
      <c r="B17" s="46">
        <v>465779</v>
      </c>
      <c r="C17" s="46">
        <v>442260</v>
      </c>
      <c r="D17" s="46">
        <v>19310</v>
      </c>
      <c r="E17" s="46">
        <v>3655</v>
      </c>
      <c r="F17" s="46">
        <v>554</v>
      </c>
      <c r="G17" s="46">
        <v>467090</v>
      </c>
      <c r="H17" s="46">
        <v>443494</v>
      </c>
      <c r="I17" s="46">
        <v>19374</v>
      </c>
      <c r="J17" s="46">
        <v>3668</v>
      </c>
      <c r="K17" s="46">
        <v>554</v>
      </c>
      <c r="L17" s="145">
        <f t="shared" si="0"/>
        <v>1.0028146395608217</v>
      </c>
      <c r="M17" s="145">
        <f t="shared" si="1"/>
        <v>1.0027902139013249</v>
      </c>
      <c r="N17" s="145">
        <f t="shared" si="2"/>
        <v>1.0033143448990161</v>
      </c>
      <c r="O17" s="145">
        <f t="shared" si="3"/>
        <v>1.0035567715458276</v>
      </c>
      <c r="P17" s="145">
        <f t="shared" si="4"/>
        <v>1</v>
      </c>
      <c r="Q17" s="46">
        <v>469927</v>
      </c>
      <c r="R17" s="46">
        <v>446519</v>
      </c>
      <c r="S17" s="46">
        <v>19217</v>
      </c>
      <c r="T17" s="46">
        <v>3643</v>
      </c>
      <c r="U17" s="46">
        <v>548</v>
      </c>
      <c r="V17" s="145">
        <f t="shared" si="5"/>
        <v>1.0060737759318332</v>
      </c>
      <c r="W17" s="145">
        <f t="shared" si="6"/>
        <v>1.0068208363585527</v>
      </c>
      <c r="X17" s="145">
        <f t="shared" si="7"/>
        <v>0.99189635594095182</v>
      </c>
      <c r="Y17" s="145">
        <f t="shared" si="8"/>
        <v>0.9931842966194111</v>
      </c>
      <c r="Z17" s="145">
        <f t="shared" si="9"/>
        <v>0.98916967509025266</v>
      </c>
      <c r="AA17" s="46">
        <v>472498</v>
      </c>
      <c r="AB17" s="46">
        <v>450435</v>
      </c>
      <c r="AC17" s="46">
        <v>17992</v>
      </c>
      <c r="AD17" s="46">
        <v>3527</v>
      </c>
      <c r="AE17" s="46">
        <v>544</v>
      </c>
      <c r="AF17" s="145">
        <f t="shared" si="10"/>
        <v>1.0054710625267329</v>
      </c>
      <c r="AG17" s="145">
        <f t="shared" si="11"/>
        <v>1.0087700635359302</v>
      </c>
      <c r="AH17" s="145">
        <f t="shared" si="12"/>
        <v>0.93625435812041424</v>
      </c>
      <c r="AI17" s="145">
        <f t="shared" si="13"/>
        <v>0.9681581114466099</v>
      </c>
      <c r="AJ17" s="145">
        <f t="shared" si="14"/>
        <v>0.99270072992700731</v>
      </c>
      <c r="AK17" s="46">
        <v>484380</v>
      </c>
      <c r="AL17" s="46">
        <v>462663</v>
      </c>
      <c r="AM17" s="46">
        <v>17669</v>
      </c>
      <c r="AN17" s="46">
        <v>3507</v>
      </c>
      <c r="AO17" s="48">
        <v>541</v>
      </c>
      <c r="AP17" s="145">
        <f t="shared" si="15"/>
        <v>1.0251471963902492</v>
      </c>
      <c r="AQ17" s="145">
        <f t="shared" si="16"/>
        <v>1.0271470911452263</v>
      </c>
      <c r="AR17" s="145">
        <f t="shared" si="17"/>
        <v>0.98204757670075593</v>
      </c>
      <c r="AS17" s="145">
        <f t="shared" si="18"/>
        <v>0.99432945846328324</v>
      </c>
      <c r="AT17" s="145">
        <f t="shared" si="19"/>
        <v>0.99448529411764708</v>
      </c>
      <c r="AU17" s="145">
        <f t="shared" si="20"/>
        <v>1.0098766686024092</v>
      </c>
      <c r="AV17" s="145">
        <f t="shared" si="21"/>
        <v>1.0113820512352585</v>
      </c>
      <c r="AW17" s="145">
        <f t="shared" si="22"/>
        <v>0.97837815891528457</v>
      </c>
      <c r="AX17" s="145">
        <f t="shared" si="23"/>
        <v>0.98980715951878295</v>
      </c>
      <c r="AY17" s="145">
        <f t="shared" si="24"/>
        <v>0.99408892478372679</v>
      </c>
    </row>
    <row r="18" spans="1:51" x14ac:dyDescent="0.25">
      <c r="A18" s="144" t="s">
        <v>14</v>
      </c>
      <c r="B18" s="46">
        <v>110574</v>
      </c>
      <c r="C18" s="46">
        <v>105611</v>
      </c>
      <c r="D18" s="46">
        <v>4003</v>
      </c>
      <c r="E18" s="46">
        <v>843</v>
      </c>
      <c r="F18" s="46">
        <v>117</v>
      </c>
      <c r="G18" s="46">
        <v>111128</v>
      </c>
      <c r="H18" s="46">
        <v>106139</v>
      </c>
      <c r="I18" s="46">
        <v>4028</v>
      </c>
      <c r="J18" s="46">
        <v>843</v>
      </c>
      <c r="K18" s="46">
        <v>118</v>
      </c>
      <c r="L18" s="145">
        <f t="shared" si="0"/>
        <v>1.0050102194005823</v>
      </c>
      <c r="M18" s="145">
        <f t="shared" si="1"/>
        <v>1.0049994792209145</v>
      </c>
      <c r="N18" s="145">
        <f t="shared" si="2"/>
        <v>1.0062453160129903</v>
      </c>
      <c r="O18" s="145">
        <f t="shared" si="3"/>
        <v>1</v>
      </c>
      <c r="P18" s="145">
        <f t="shared" si="4"/>
        <v>1.0085470085470085</v>
      </c>
      <c r="Q18" s="46">
        <v>112296</v>
      </c>
      <c r="R18" s="46">
        <v>107314</v>
      </c>
      <c r="S18" s="46">
        <v>4034</v>
      </c>
      <c r="T18" s="46">
        <v>832</v>
      </c>
      <c r="U18" s="46">
        <v>116</v>
      </c>
      <c r="V18" s="145">
        <f t="shared" si="5"/>
        <v>1.0105104024188323</v>
      </c>
      <c r="W18" s="145">
        <f t="shared" si="6"/>
        <v>1.0110703888297421</v>
      </c>
      <c r="X18" s="145">
        <f t="shared" si="7"/>
        <v>1.0014895729890765</v>
      </c>
      <c r="Y18" s="145">
        <f t="shared" si="8"/>
        <v>0.98695136417556351</v>
      </c>
      <c r="Z18" s="145">
        <f t="shared" si="9"/>
        <v>0.98305084745762716</v>
      </c>
      <c r="AA18" s="46">
        <v>113717</v>
      </c>
      <c r="AB18" s="46">
        <v>108825</v>
      </c>
      <c r="AC18" s="46">
        <v>3968</v>
      </c>
      <c r="AD18" s="46">
        <v>810</v>
      </c>
      <c r="AE18" s="46">
        <v>114</v>
      </c>
      <c r="AF18" s="145">
        <f t="shared" si="10"/>
        <v>1.0126540571347153</v>
      </c>
      <c r="AG18" s="145">
        <f t="shared" si="11"/>
        <v>1.0140801759323108</v>
      </c>
      <c r="AH18" s="145">
        <f t="shared" si="12"/>
        <v>0.98363906792265743</v>
      </c>
      <c r="AI18" s="145">
        <f t="shared" si="13"/>
        <v>0.97355769230769229</v>
      </c>
      <c r="AJ18" s="145">
        <f t="shared" si="14"/>
        <v>0.98275862068965514</v>
      </c>
      <c r="AK18" s="46">
        <v>116316</v>
      </c>
      <c r="AL18" s="46">
        <v>111506</v>
      </c>
      <c r="AM18" s="46">
        <v>3904</v>
      </c>
      <c r="AN18" s="46">
        <v>793</v>
      </c>
      <c r="AO18" s="48">
        <v>113</v>
      </c>
      <c r="AP18" s="145">
        <f t="shared" si="15"/>
        <v>1.0228549821046986</v>
      </c>
      <c r="AQ18" s="145">
        <f t="shared" si="16"/>
        <v>1.0246358832988745</v>
      </c>
      <c r="AR18" s="145">
        <f t="shared" si="17"/>
        <v>0.9838709677419355</v>
      </c>
      <c r="AS18" s="145">
        <f t="shared" si="18"/>
        <v>0.9790123456790123</v>
      </c>
      <c r="AT18" s="145">
        <f t="shared" si="19"/>
        <v>0.99122807017543857</v>
      </c>
      <c r="AU18" s="145">
        <f t="shared" si="20"/>
        <v>1.0127574152647072</v>
      </c>
      <c r="AV18" s="145">
        <f t="shared" si="21"/>
        <v>1.0136964818204603</v>
      </c>
      <c r="AW18" s="145">
        <f t="shared" si="22"/>
        <v>0.99381123116666492</v>
      </c>
      <c r="AX18" s="145">
        <f t="shared" si="23"/>
        <v>0.984880350540567</v>
      </c>
      <c r="AY18" s="145">
        <f t="shared" si="24"/>
        <v>0.99139613671743232</v>
      </c>
    </row>
    <row r="19" spans="1:51" x14ac:dyDescent="0.25">
      <c r="A19" s="144" t="s">
        <v>15</v>
      </c>
      <c r="B19" s="46">
        <v>123876</v>
      </c>
      <c r="C19" s="46">
        <v>118242</v>
      </c>
      <c r="D19" s="46">
        <v>4513</v>
      </c>
      <c r="E19" s="46">
        <v>1005</v>
      </c>
      <c r="F19" s="46">
        <v>116</v>
      </c>
      <c r="G19" s="46">
        <v>124287</v>
      </c>
      <c r="H19" s="46">
        <v>118661</v>
      </c>
      <c r="I19" s="46">
        <v>4501</v>
      </c>
      <c r="J19" s="46">
        <v>1011</v>
      </c>
      <c r="K19" s="46">
        <v>114</v>
      </c>
      <c r="L19" s="145">
        <f t="shared" si="0"/>
        <v>1.0033178339629953</v>
      </c>
      <c r="M19" s="145">
        <f t="shared" si="1"/>
        <v>1.0035435801153567</v>
      </c>
      <c r="N19" s="145">
        <f t="shared" si="2"/>
        <v>0.99734101484600046</v>
      </c>
      <c r="O19" s="145">
        <f t="shared" si="3"/>
        <v>1.0059701492537314</v>
      </c>
      <c r="P19" s="145">
        <f t="shared" si="4"/>
        <v>0.98275862068965514</v>
      </c>
      <c r="Q19" s="46">
        <v>125377</v>
      </c>
      <c r="R19" s="46">
        <v>119801</v>
      </c>
      <c r="S19" s="46">
        <v>4477</v>
      </c>
      <c r="T19" s="46">
        <v>986</v>
      </c>
      <c r="U19" s="46">
        <v>113</v>
      </c>
      <c r="V19" s="145">
        <f t="shared" si="5"/>
        <v>1.0087700242181403</v>
      </c>
      <c r="W19" s="145">
        <f t="shared" si="6"/>
        <v>1.0096072003438366</v>
      </c>
      <c r="X19" s="145">
        <f t="shared" si="7"/>
        <v>0.99466785158853588</v>
      </c>
      <c r="Y19" s="145">
        <f t="shared" si="8"/>
        <v>0.97527200791295743</v>
      </c>
      <c r="Z19" s="145">
        <f t="shared" si="9"/>
        <v>0.99122807017543857</v>
      </c>
      <c r="AA19" s="46">
        <v>127120</v>
      </c>
      <c r="AB19" s="46">
        <v>121735</v>
      </c>
      <c r="AC19" s="46">
        <v>4318</v>
      </c>
      <c r="AD19" s="46">
        <v>958</v>
      </c>
      <c r="AE19" s="46">
        <v>109</v>
      </c>
      <c r="AF19" s="145">
        <f t="shared" si="10"/>
        <v>1.0139020713528</v>
      </c>
      <c r="AG19" s="145">
        <f t="shared" si="11"/>
        <v>1.0161434378677974</v>
      </c>
      <c r="AH19" s="145">
        <f t="shared" si="12"/>
        <v>0.96448514630332816</v>
      </c>
      <c r="AI19" s="145">
        <f t="shared" si="13"/>
        <v>0.97160243407707914</v>
      </c>
      <c r="AJ19" s="145">
        <f t="shared" si="14"/>
        <v>0.96460176991150437</v>
      </c>
      <c r="AK19" s="46">
        <v>131280</v>
      </c>
      <c r="AL19" s="46">
        <v>126016</v>
      </c>
      <c r="AM19" s="46">
        <v>4209</v>
      </c>
      <c r="AN19" s="46">
        <v>947</v>
      </c>
      <c r="AO19" s="48">
        <v>108</v>
      </c>
      <c r="AP19" s="145">
        <f t="shared" si="15"/>
        <v>1.0327249842668345</v>
      </c>
      <c r="AQ19" s="145">
        <f t="shared" si="16"/>
        <v>1.0351665502936707</v>
      </c>
      <c r="AR19" s="145">
        <f t="shared" si="17"/>
        <v>0.97475683186660489</v>
      </c>
      <c r="AS19" s="145">
        <f t="shared" si="18"/>
        <v>0.98851774530271397</v>
      </c>
      <c r="AT19" s="145">
        <f t="shared" si="19"/>
        <v>0.99082568807339455</v>
      </c>
      <c r="AU19" s="145">
        <f t="shared" si="20"/>
        <v>1.0146787284501926</v>
      </c>
      <c r="AV19" s="145">
        <f t="shared" si="21"/>
        <v>1.0161151921551652</v>
      </c>
      <c r="AW19" s="145">
        <f t="shared" si="22"/>
        <v>0.98281271115111735</v>
      </c>
      <c r="AX19" s="145">
        <f t="shared" si="23"/>
        <v>0.98534058413662051</v>
      </c>
      <c r="AY19" s="145">
        <f t="shared" si="24"/>
        <v>0.98235353721249818</v>
      </c>
    </row>
    <row r="20" spans="1:51" x14ac:dyDescent="0.25">
      <c r="A20" s="144" t="s">
        <v>16</v>
      </c>
      <c r="B20" s="46">
        <v>409865</v>
      </c>
      <c r="C20" s="46">
        <v>390550</v>
      </c>
      <c r="D20" s="46">
        <v>15833</v>
      </c>
      <c r="E20" s="46">
        <v>3044</v>
      </c>
      <c r="F20" s="46">
        <v>438</v>
      </c>
      <c r="G20" s="46">
        <v>414798</v>
      </c>
      <c r="H20" s="46">
        <v>395374</v>
      </c>
      <c r="I20" s="46">
        <v>15941</v>
      </c>
      <c r="J20" s="46">
        <v>3045</v>
      </c>
      <c r="K20" s="46">
        <v>438</v>
      </c>
      <c r="L20" s="145">
        <f t="shared" si="0"/>
        <v>1.0120356702816782</v>
      </c>
      <c r="M20" s="145">
        <f t="shared" si="1"/>
        <v>1.0123518115478172</v>
      </c>
      <c r="N20" s="145">
        <f t="shared" si="2"/>
        <v>1.0068211962357103</v>
      </c>
      <c r="O20" s="145">
        <f t="shared" si="3"/>
        <v>1.0003285151116952</v>
      </c>
      <c r="P20" s="145">
        <f t="shared" si="4"/>
        <v>1</v>
      </c>
      <c r="Q20" s="46">
        <v>422094</v>
      </c>
      <c r="R20" s="46">
        <v>402747</v>
      </c>
      <c r="S20" s="46">
        <v>15883</v>
      </c>
      <c r="T20" s="46">
        <v>3027</v>
      </c>
      <c r="U20" s="46">
        <v>437</v>
      </c>
      <c r="V20" s="145">
        <f t="shared" si="5"/>
        <v>1.0175892844227792</v>
      </c>
      <c r="W20" s="145">
        <f t="shared" si="6"/>
        <v>1.0186481660402555</v>
      </c>
      <c r="X20" s="145">
        <f t="shared" si="7"/>
        <v>0.99636158333856095</v>
      </c>
      <c r="Y20" s="145">
        <f t="shared" si="8"/>
        <v>0.99408866995073897</v>
      </c>
      <c r="Z20" s="145">
        <f t="shared" si="9"/>
        <v>0.99771689497716898</v>
      </c>
      <c r="AA20" s="46">
        <v>429658</v>
      </c>
      <c r="AB20" s="46">
        <v>411349</v>
      </c>
      <c r="AC20" s="46">
        <v>15019</v>
      </c>
      <c r="AD20" s="46">
        <v>2868</v>
      </c>
      <c r="AE20" s="46">
        <v>422</v>
      </c>
      <c r="AF20" s="145">
        <f t="shared" si="10"/>
        <v>1.0179201789174923</v>
      </c>
      <c r="AG20" s="145">
        <f t="shared" si="11"/>
        <v>1.0213583217255497</v>
      </c>
      <c r="AH20" s="145">
        <f t="shared" si="12"/>
        <v>0.94560221620600637</v>
      </c>
      <c r="AI20" s="145">
        <f t="shared" si="13"/>
        <v>0.94747274529236869</v>
      </c>
      <c r="AJ20" s="145">
        <f t="shared" si="14"/>
        <v>0.96567505720823799</v>
      </c>
      <c r="AK20" s="46">
        <v>443823</v>
      </c>
      <c r="AL20" s="46">
        <v>425664</v>
      </c>
      <c r="AM20" s="46">
        <v>14882</v>
      </c>
      <c r="AN20" s="46">
        <v>2849</v>
      </c>
      <c r="AO20" s="48">
        <v>428</v>
      </c>
      <c r="AP20" s="145">
        <f t="shared" si="15"/>
        <v>1.0329680815904743</v>
      </c>
      <c r="AQ20" s="145">
        <f t="shared" si="16"/>
        <v>1.0348001332202097</v>
      </c>
      <c r="AR20" s="145">
        <f t="shared" si="17"/>
        <v>0.99087822092016775</v>
      </c>
      <c r="AS20" s="145">
        <f t="shared" si="18"/>
        <v>0.99337517433751743</v>
      </c>
      <c r="AT20" s="145">
        <f t="shared" si="19"/>
        <v>1.014218009478673</v>
      </c>
      <c r="AU20" s="145">
        <f t="shared" si="20"/>
        <v>1.0201283038031059</v>
      </c>
      <c r="AV20" s="145">
        <f t="shared" si="21"/>
        <v>1.0217896081334579</v>
      </c>
      <c r="AW20" s="145">
        <f t="shared" si="22"/>
        <v>0.98491580417511138</v>
      </c>
      <c r="AX20" s="145">
        <f t="shared" si="23"/>
        <v>0.9838162761730801</v>
      </c>
      <c r="AY20" s="145">
        <f t="shared" si="24"/>
        <v>0.99440249041602002</v>
      </c>
    </row>
    <row r="21" spans="1:51" x14ac:dyDescent="0.25">
      <c r="A21" s="146" t="s">
        <v>17</v>
      </c>
      <c r="B21" s="49">
        <v>220615</v>
      </c>
      <c r="C21" s="49">
        <v>212598</v>
      </c>
      <c r="D21" s="49">
        <v>6609</v>
      </c>
      <c r="E21" s="49">
        <v>1270</v>
      </c>
      <c r="F21" s="49">
        <v>138</v>
      </c>
      <c r="G21" s="49">
        <v>221168</v>
      </c>
      <c r="H21" s="49">
        <v>213137</v>
      </c>
      <c r="I21" s="49">
        <v>6636</v>
      </c>
      <c r="J21" s="49">
        <v>1259</v>
      </c>
      <c r="K21" s="49">
        <v>136</v>
      </c>
      <c r="L21" s="147">
        <f t="shared" si="0"/>
        <v>1.0025066291956577</v>
      </c>
      <c r="M21" s="147">
        <f t="shared" si="1"/>
        <v>1.0025353013668989</v>
      </c>
      <c r="N21" s="147">
        <f>I21/D21</f>
        <v>1.0040853381752157</v>
      </c>
      <c r="O21" s="147">
        <f>J21/E21</f>
        <v>0.99133858267716535</v>
      </c>
      <c r="P21" s="147">
        <f>K21/F21</f>
        <v>0.98550724637681164</v>
      </c>
      <c r="Q21" s="49">
        <v>223130</v>
      </c>
      <c r="R21" s="49">
        <v>215179</v>
      </c>
      <c r="S21" s="49">
        <v>6568</v>
      </c>
      <c r="T21" s="49">
        <v>1246</v>
      </c>
      <c r="U21" s="49">
        <v>137</v>
      </c>
      <c r="V21" s="147">
        <f t="shared" si="5"/>
        <v>1.0088710844245099</v>
      </c>
      <c r="W21" s="147">
        <f t="shared" si="6"/>
        <v>1.0095806922308186</v>
      </c>
      <c r="X21" s="147">
        <f t="shared" si="7"/>
        <v>0.98975286317058464</v>
      </c>
      <c r="Y21" s="147">
        <f t="shared" si="8"/>
        <v>0.98967434471803017</v>
      </c>
      <c r="Z21" s="147">
        <f t="shared" si="9"/>
        <v>1.0073529411764706</v>
      </c>
      <c r="AA21" s="49">
        <v>223953</v>
      </c>
      <c r="AB21" s="49">
        <v>216515</v>
      </c>
      <c r="AC21" s="49">
        <v>6106</v>
      </c>
      <c r="AD21" s="49">
        <v>1197</v>
      </c>
      <c r="AE21" s="49">
        <v>135</v>
      </c>
      <c r="AF21" s="147">
        <f t="shared" si="10"/>
        <v>1.0036884327522073</v>
      </c>
      <c r="AG21" s="147">
        <f t="shared" si="11"/>
        <v>1.0062087843144545</v>
      </c>
      <c r="AH21" s="147">
        <f t="shared" si="12"/>
        <v>0.92965895249695496</v>
      </c>
      <c r="AI21" s="147">
        <f t="shared" si="13"/>
        <v>0.9606741573033708</v>
      </c>
      <c r="AJ21" s="147">
        <f t="shared" si="14"/>
        <v>0.98540145985401462</v>
      </c>
      <c r="AK21" s="49">
        <v>230326</v>
      </c>
      <c r="AL21" s="49">
        <v>222996</v>
      </c>
      <c r="AM21" s="49">
        <v>6022</v>
      </c>
      <c r="AN21" s="49">
        <v>1177</v>
      </c>
      <c r="AO21" s="50">
        <v>131</v>
      </c>
      <c r="AP21" s="147">
        <f t="shared" si="15"/>
        <v>1.0284568637169407</v>
      </c>
      <c r="AQ21" s="147">
        <f t="shared" si="16"/>
        <v>1.0299332609749903</v>
      </c>
      <c r="AR21" s="147">
        <f t="shared" si="17"/>
        <v>0.98624303963314774</v>
      </c>
      <c r="AS21" s="147">
        <f>AN21/AD21</f>
        <v>0.98329156223893066</v>
      </c>
      <c r="AT21" s="147">
        <f t="shared" si="19"/>
        <v>0.97037037037037033</v>
      </c>
      <c r="AU21" s="147">
        <f t="shared" si="20"/>
        <v>1.0108807525223289</v>
      </c>
      <c r="AV21" s="147">
        <f t="shared" si="21"/>
        <v>1.0120645097217906</v>
      </c>
      <c r="AW21" s="147">
        <f t="shared" si="22"/>
        <v>0.97743504836897577</v>
      </c>
      <c r="AX21" s="147">
        <f t="shared" si="23"/>
        <v>0.9812446617343743</v>
      </c>
      <c r="AY21" s="147">
        <f t="shared" si="24"/>
        <v>0.98715800444441681</v>
      </c>
    </row>
    <row r="22" spans="1:51" x14ac:dyDescent="0.25">
      <c r="A22" s="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13"/>
      <c r="M22" s="113"/>
      <c r="N22" s="113"/>
      <c r="O22" s="113"/>
      <c r="P22" s="113"/>
      <c r="Q22" s="12"/>
      <c r="R22" s="12"/>
      <c r="S22" s="12"/>
      <c r="T22" s="12"/>
      <c r="U22" s="12"/>
      <c r="V22" s="113"/>
      <c r="W22" s="113"/>
      <c r="X22" s="113"/>
      <c r="Y22" s="113"/>
      <c r="Z22" s="113"/>
      <c r="AA22" s="12"/>
      <c r="AB22" s="12"/>
      <c r="AC22" s="12"/>
      <c r="AD22" s="12"/>
      <c r="AE22" s="12"/>
      <c r="AF22" s="113"/>
      <c r="AG22" s="113"/>
      <c r="AH22" s="113"/>
      <c r="AI22" s="113"/>
      <c r="AJ22" s="113"/>
      <c r="AK22" s="12"/>
      <c r="AL22" s="12"/>
      <c r="AM22" s="12"/>
      <c r="AN22" s="12"/>
      <c r="AO22" s="12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</row>
    <row r="23" spans="1:51" x14ac:dyDescent="0.25">
      <c r="A23" s="33" t="s">
        <v>377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5"/>
      <c r="M23" s="115"/>
      <c r="N23" s="115"/>
      <c r="O23" s="115"/>
      <c r="P23" s="115"/>
      <c r="Q23" s="114"/>
      <c r="R23" s="114"/>
      <c r="S23" s="114"/>
      <c r="T23" s="114"/>
      <c r="U23" s="114"/>
      <c r="V23" s="115"/>
      <c r="W23" s="115"/>
      <c r="X23" s="115"/>
      <c r="Y23" s="115"/>
      <c r="Z23" s="115"/>
      <c r="AA23" s="114"/>
      <c r="AB23" s="114"/>
      <c r="AC23" s="114"/>
      <c r="AD23" s="114"/>
      <c r="AE23" s="114"/>
      <c r="AF23" s="115"/>
      <c r="AG23" s="115"/>
      <c r="AH23" s="115"/>
      <c r="AI23" s="115"/>
      <c r="AJ23" s="115"/>
      <c r="AK23" s="114"/>
      <c r="AL23" s="114"/>
      <c r="AM23" s="114"/>
      <c r="AN23" s="114"/>
      <c r="AO23" s="114"/>
      <c r="AP23" s="115"/>
      <c r="AQ23" s="115"/>
      <c r="AR23" s="115"/>
      <c r="AS23" s="115"/>
      <c r="AT23" s="115"/>
      <c r="AU23" s="115"/>
      <c r="AV23" s="115"/>
      <c r="AW23" s="115"/>
      <c r="AX23" s="115"/>
      <c r="AY23" s="116"/>
    </row>
    <row r="24" spans="1:51" x14ac:dyDescent="0.25">
      <c r="A24" s="117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13"/>
      <c r="M24" s="113"/>
      <c r="N24" s="113"/>
      <c r="O24" s="113"/>
      <c r="P24" s="113"/>
      <c r="Q24" s="12"/>
      <c r="R24" s="12"/>
      <c r="S24" s="12"/>
      <c r="T24" s="12"/>
      <c r="U24" s="12"/>
      <c r="V24" s="113"/>
      <c r="W24" s="113"/>
      <c r="X24" s="113"/>
      <c r="Y24" s="113"/>
      <c r="Z24" s="113"/>
      <c r="AA24" s="12"/>
      <c r="AB24" s="12"/>
      <c r="AC24" s="12"/>
      <c r="AD24" s="12"/>
      <c r="AE24" s="12"/>
      <c r="AF24" s="113"/>
      <c r="AG24" s="113"/>
      <c r="AH24" s="113"/>
      <c r="AI24" s="113"/>
      <c r="AJ24" s="113"/>
      <c r="AK24" s="12"/>
      <c r="AL24" s="12"/>
      <c r="AM24" s="12"/>
      <c r="AN24" s="12"/>
      <c r="AO24" s="12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</row>
    <row r="25" spans="1:51" x14ac:dyDescent="0.25">
      <c r="A25" s="33" t="s">
        <v>378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5"/>
      <c r="M25" s="115"/>
      <c r="N25" s="115"/>
      <c r="O25" s="115"/>
      <c r="P25" s="115"/>
      <c r="Q25" s="114"/>
      <c r="R25" s="114"/>
      <c r="S25" s="114"/>
      <c r="T25" s="114"/>
      <c r="U25" s="114"/>
      <c r="V25" s="115"/>
      <c r="W25" s="115"/>
      <c r="X25" s="115"/>
      <c r="Y25" s="115"/>
      <c r="Z25" s="115"/>
      <c r="AA25" s="114"/>
      <c r="AB25" s="114"/>
      <c r="AC25" s="114"/>
      <c r="AD25" s="114"/>
      <c r="AE25" s="114"/>
      <c r="AF25" s="115"/>
      <c r="AG25" s="115"/>
      <c r="AH25" s="115"/>
      <c r="AI25" s="115"/>
      <c r="AJ25" s="115"/>
      <c r="AK25" s="114"/>
      <c r="AL25" s="114"/>
      <c r="AM25" s="114"/>
      <c r="AN25" s="114"/>
      <c r="AO25" s="114"/>
      <c r="AP25" s="115"/>
      <c r="AQ25" s="115"/>
      <c r="AR25" s="115"/>
      <c r="AS25" s="115"/>
      <c r="AT25" s="115"/>
      <c r="AU25" s="115"/>
      <c r="AV25" s="115"/>
      <c r="AW25" s="115"/>
      <c r="AX25" s="115"/>
      <c r="AY25" s="116"/>
    </row>
    <row r="26" spans="1:51" x14ac:dyDescent="0.25">
      <c r="AP26" s="3"/>
      <c r="AQ26" s="3"/>
      <c r="AR26" s="3"/>
      <c r="AS26" s="3"/>
      <c r="AT26" s="3"/>
      <c r="AU26" s="3"/>
      <c r="AV26" s="3"/>
      <c r="AW26" s="3"/>
      <c r="AX26" s="3"/>
      <c r="AY26" s="3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30"/>
  <sheetViews>
    <sheetView zoomScale="90" zoomScaleNormal="90" workbookViewId="0">
      <selection activeCell="G19" sqref="G19"/>
    </sheetView>
  </sheetViews>
  <sheetFormatPr defaultRowHeight="15" x14ac:dyDescent="0.25"/>
  <cols>
    <col min="1" max="1" width="25" customWidth="1"/>
    <col min="2" max="2" width="11.42578125" customWidth="1"/>
    <col min="3" max="5" width="11.85546875" customWidth="1"/>
    <col min="6" max="7" width="12.85546875" customWidth="1"/>
    <col min="8" max="10" width="11.85546875" customWidth="1"/>
    <col min="11" max="11" width="13" customWidth="1"/>
    <col min="12" max="12" width="10.140625" customWidth="1"/>
    <col min="13" max="13" width="11.85546875" customWidth="1"/>
    <col min="14" max="16" width="13" customWidth="1"/>
    <col min="17" max="17" width="32.28515625" customWidth="1"/>
  </cols>
  <sheetData>
    <row r="1" spans="1:18" x14ac:dyDescent="0.25">
      <c r="A1" s="167" t="s">
        <v>24</v>
      </c>
      <c r="B1" s="168" t="s">
        <v>25</v>
      </c>
      <c r="C1" s="168" t="s">
        <v>277</v>
      </c>
      <c r="D1" s="168" t="s">
        <v>278</v>
      </c>
      <c r="E1" s="168" t="s">
        <v>279</v>
      </c>
      <c r="F1" s="168" t="s">
        <v>280</v>
      </c>
      <c r="G1" s="168" t="s">
        <v>26</v>
      </c>
      <c r="H1" s="168" t="s">
        <v>281</v>
      </c>
      <c r="I1" s="168" t="s">
        <v>282</v>
      </c>
      <c r="J1" s="168" t="s">
        <v>283</v>
      </c>
      <c r="K1" s="168" t="s">
        <v>284</v>
      </c>
      <c r="L1" s="168" t="s">
        <v>27</v>
      </c>
      <c r="M1" s="169" t="s">
        <v>285</v>
      </c>
      <c r="N1" s="169" t="s">
        <v>286</v>
      </c>
      <c r="O1" s="169" t="s">
        <v>287</v>
      </c>
      <c r="P1" s="169" t="s">
        <v>288</v>
      </c>
      <c r="Q1" s="187" t="s">
        <v>28</v>
      </c>
      <c r="R1" s="47"/>
    </row>
    <row r="2" spans="1:18" ht="55.5" customHeight="1" x14ac:dyDescent="0.25">
      <c r="A2" s="137" t="s">
        <v>18</v>
      </c>
      <c r="B2" s="138" t="s">
        <v>35</v>
      </c>
      <c r="C2" s="139"/>
      <c r="D2" s="139"/>
      <c r="E2" s="139"/>
      <c r="F2" s="137"/>
      <c r="G2" s="138" t="s">
        <v>33</v>
      </c>
      <c r="H2" s="139"/>
      <c r="I2" s="139"/>
      <c r="J2" s="139"/>
      <c r="K2" s="137"/>
      <c r="L2" s="138" t="s">
        <v>36</v>
      </c>
      <c r="M2" s="139"/>
      <c r="N2" s="139"/>
      <c r="O2" s="139"/>
      <c r="P2" s="139"/>
      <c r="Q2" s="188" t="s">
        <v>39</v>
      </c>
      <c r="R2" s="47"/>
    </row>
    <row r="3" spans="1:18" ht="15" customHeight="1" x14ac:dyDescent="0.25">
      <c r="A3" s="137"/>
      <c r="B3" s="140" t="s">
        <v>19</v>
      </c>
      <c r="C3" s="140" t="s">
        <v>19</v>
      </c>
      <c r="D3" s="140" t="s">
        <v>19</v>
      </c>
      <c r="E3" s="95" t="s">
        <v>19</v>
      </c>
      <c r="F3" s="97" t="s">
        <v>19</v>
      </c>
      <c r="G3" s="97" t="s">
        <v>19</v>
      </c>
      <c r="H3" s="97" t="s">
        <v>19</v>
      </c>
      <c r="I3" s="97" t="s">
        <v>19</v>
      </c>
      <c r="J3" s="97" t="s">
        <v>19</v>
      </c>
      <c r="K3" s="97" t="s">
        <v>19</v>
      </c>
      <c r="L3" s="97" t="s">
        <v>19</v>
      </c>
      <c r="M3" s="97" t="s">
        <v>19</v>
      </c>
      <c r="N3" s="97" t="s">
        <v>19</v>
      </c>
      <c r="O3" s="97" t="s">
        <v>19</v>
      </c>
      <c r="P3" s="96" t="s">
        <v>19</v>
      </c>
      <c r="Q3" s="95" t="s">
        <v>19</v>
      </c>
      <c r="R3" s="47"/>
    </row>
    <row r="4" spans="1:18" s="2" customFormat="1" x14ac:dyDescent="0.25">
      <c r="A4" s="137"/>
      <c r="B4" s="142">
        <v>2015</v>
      </c>
      <c r="C4" s="142">
        <v>2016</v>
      </c>
      <c r="D4" s="142">
        <v>2017</v>
      </c>
      <c r="E4" s="143">
        <v>2018</v>
      </c>
      <c r="F4" s="189" t="s">
        <v>34</v>
      </c>
      <c r="G4" s="101">
        <v>2015</v>
      </c>
      <c r="H4" s="101">
        <v>2016</v>
      </c>
      <c r="I4" s="101">
        <v>2017</v>
      </c>
      <c r="J4" s="101">
        <v>2018</v>
      </c>
      <c r="K4" s="189" t="s">
        <v>34</v>
      </c>
      <c r="L4" s="101">
        <v>2015</v>
      </c>
      <c r="M4" s="101">
        <v>2016</v>
      </c>
      <c r="N4" s="101">
        <v>2017</v>
      </c>
      <c r="O4" s="101">
        <v>2018</v>
      </c>
      <c r="P4" s="189">
        <v>2019</v>
      </c>
      <c r="Q4" s="101">
        <v>2020</v>
      </c>
      <c r="R4" s="174"/>
    </row>
    <row r="5" spans="1:18" x14ac:dyDescent="0.25">
      <c r="A5" s="144" t="s">
        <v>1</v>
      </c>
      <c r="B5" s="46">
        <v>335353</v>
      </c>
      <c r="C5" s="46">
        <v>327655</v>
      </c>
      <c r="D5" s="46">
        <v>350356</v>
      </c>
      <c r="E5" s="175">
        <v>363722</v>
      </c>
      <c r="F5" s="175">
        <v>275728</v>
      </c>
      <c r="G5" s="175">
        <v>272779</v>
      </c>
      <c r="H5" s="175">
        <v>277283</v>
      </c>
      <c r="I5" s="175">
        <v>272208</v>
      </c>
      <c r="J5" s="175">
        <v>297859</v>
      </c>
      <c r="K5" s="175">
        <v>140777</v>
      </c>
      <c r="L5" s="175">
        <f>B5-G5</f>
        <v>62574</v>
      </c>
      <c r="M5" s="175">
        <f>C5-H5</f>
        <v>50372</v>
      </c>
      <c r="N5" s="175">
        <f>D5-I5</f>
        <v>78148</v>
      </c>
      <c r="O5" s="175">
        <f>E5-J5</f>
        <v>65863</v>
      </c>
      <c r="P5" s="190">
        <f>F5-K5</f>
        <v>134951</v>
      </c>
      <c r="Q5" s="176">
        <f>AVERAGE(L5:P5)</f>
        <v>78381.600000000006</v>
      </c>
      <c r="R5" s="47"/>
    </row>
    <row r="6" spans="1:18" x14ac:dyDescent="0.25">
      <c r="A6" s="144" t="s">
        <v>2</v>
      </c>
      <c r="B6" s="46">
        <v>28239</v>
      </c>
      <c r="C6" s="46">
        <v>26953</v>
      </c>
      <c r="D6" s="46">
        <v>29846</v>
      </c>
      <c r="E6" s="175">
        <v>30328</v>
      </c>
      <c r="F6" s="175">
        <v>22892</v>
      </c>
      <c r="G6" s="175">
        <v>22520</v>
      </c>
      <c r="H6" s="175">
        <v>23223</v>
      </c>
      <c r="I6" s="175">
        <v>21967</v>
      </c>
      <c r="J6" s="175">
        <v>23383</v>
      </c>
      <c r="K6" s="175">
        <v>11058</v>
      </c>
      <c r="L6" s="175">
        <f t="shared" ref="L6:L21" si="0">B6-G6</f>
        <v>5719</v>
      </c>
      <c r="M6" s="175">
        <f t="shared" ref="M6:M21" si="1">C6-H6</f>
        <v>3730</v>
      </c>
      <c r="N6" s="175">
        <f t="shared" ref="N6:N21" si="2">D6-I6</f>
        <v>7879</v>
      </c>
      <c r="O6" s="175">
        <f t="shared" ref="O6:O21" si="3">E6-J6</f>
        <v>6945</v>
      </c>
      <c r="P6" s="190">
        <f t="shared" ref="P6:P21" si="4">F6-K6</f>
        <v>11834</v>
      </c>
      <c r="Q6" s="176">
        <f t="shared" ref="Q6:Q21" si="5">AVERAGE(L6:P6)</f>
        <v>7221.4</v>
      </c>
      <c r="R6" s="47"/>
    </row>
    <row r="7" spans="1:18" x14ac:dyDescent="0.25">
      <c r="A7" s="144" t="s">
        <v>3</v>
      </c>
      <c r="B7" s="46">
        <v>15944</v>
      </c>
      <c r="C7" s="46">
        <v>15026</v>
      </c>
      <c r="D7" s="46">
        <v>15965</v>
      </c>
      <c r="E7" s="175">
        <v>17194</v>
      </c>
      <c r="F7" s="175">
        <v>12859</v>
      </c>
      <c r="G7" s="175">
        <v>14408</v>
      </c>
      <c r="H7" s="175">
        <v>14254</v>
      </c>
      <c r="I7" s="175">
        <v>13801</v>
      </c>
      <c r="J7" s="175">
        <v>14602</v>
      </c>
      <c r="K7" s="175">
        <v>7066</v>
      </c>
      <c r="L7" s="175">
        <f t="shared" si="0"/>
        <v>1536</v>
      </c>
      <c r="M7" s="175">
        <f t="shared" si="1"/>
        <v>772</v>
      </c>
      <c r="N7" s="175">
        <f t="shared" si="2"/>
        <v>2164</v>
      </c>
      <c r="O7" s="175">
        <f t="shared" si="3"/>
        <v>2592</v>
      </c>
      <c r="P7" s="190">
        <f t="shared" si="4"/>
        <v>5793</v>
      </c>
      <c r="Q7" s="176">
        <f t="shared" si="5"/>
        <v>2571.4</v>
      </c>
      <c r="R7" s="47"/>
    </row>
    <row r="8" spans="1:18" x14ac:dyDescent="0.25">
      <c r="A8" s="144" t="s">
        <v>4</v>
      </c>
      <c r="B8" s="46">
        <v>13562</v>
      </c>
      <c r="C8" s="46">
        <v>13357</v>
      </c>
      <c r="D8" s="46">
        <v>15496</v>
      </c>
      <c r="E8" s="175">
        <v>16417</v>
      </c>
      <c r="F8" s="175">
        <v>11913</v>
      </c>
      <c r="G8" s="175">
        <v>11573</v>
      </c>
      <c r="H8" s="175">
        <v>11951</v>
      </c>
      <c r="I8" s="175">
        <v>11735</v>
      </c>
      <c r="J8" s="175">
        <v>12279</v>
      </c>
      <c r="K8" s="175">
        <v>6784</v>
      </c>
      <c r="L8" s="175">
        <f t="shared" si="0"/>
        <v>1989</v>
      </c>
      <c r="M8" s="175">
        <f t="shared" si="1"/>
        <v>1406</v>
      </c>
      <c r="N8" s="175">
        <f t="shared" si="2"/>
        <v>3761</v>
      </c>
      <c r="O8" s="175">
        <f t="shared" si="3"/>
        <v>4138</v>
      </c>
      <c r="P8" s="190">
        <f t="shared" si="4"/>
        <v>5129</v>
      </c>
      <c r="Q8" s="176">
        <f t="shared" si="5"/>
        <v>3284.6</v>
      </c>
      <c r="R8" s="47"/>
    </row>
    <row r="9" spans="1:18" x14ac:dyDescent="0.25">
      <c r="A9" s="144" t="s">
        <v>5</v>
      </c>
      <c r="B9" s="46">
        <v>8971</v>
      </c>
      <c r="C9" s="46">
        <v>8676</v>
      </c>
      <c r="D9" s="46">
        <v>9172</v>
      </c>
      <c r="E9" s="175">
        <v>9664</v>
      </c>
      <c r="F9" s="175">
        <v>7755</v>
      </c>
      <c r="G9" s="175">
        <v>7865</v>
      </c>
      <c r="H9" s="175">
        <v>8165</v>
      </c>
      <c r="I9" s="175">
        <v>7826</v>
      </c>
      <c r="J9" s="175">
        <v>8853</v>
      </c>
      <c r="K9" s="175">
        <v>3983</v>
      </c>
      <c r="L9" s="175">
        <f t="shared" si="0"/>
        <v>1106</v>
      </c>
      <c r="M9" s="175">
        <f t="shared" si="1"/>
        <v>511</v>
      </c>
      <c r="N9" s="175">
        <f t="shared" si="2"/>
        <v>1346</v>
      </c>
      <c r="O9" s="175">
        <f t="shared" si="3"/>
        <v>811</v>
      </c>
      <c r="P9" s="190">
        <f t="shared" si="4"/>
        <v>3772</v>
      </c>
      <c r="Q9" s="176">
        <f t="shared" si="5"/>
        <v>1509.2</v>
      </c>
      <c r="R9" s="47"/>
    </row>
    <row r="10" spans="1:18" x14ac:dyDescent="0.25">
      <c r="A10" s="144" t="s">
        <v>6</v>
      </c>
      <c r="B10" s="46">
        <v>19040</v>
      </c>
      <c r="C10" s="46">
        <v>19137</v>
      </c>
      <c r="D10" s="46">
        <v>19714</v>
      </c>
      <c r="E10" s="175">
        <v>19914</v>
      </c>
      <c r="F10" s="175">
        <v>15440</v>
      </c>
      <c r="G10" s="175">
        <v>16750</v>
      </c>
      <c r="H10" s="175">
        <v>17155</v>
      </c>
      <c r="I10" s="175">
        <v>16499</v>
      </c>
      <c r="J10" s="175">
        <v>17292</v>
      </c>
      <c r="K10" s="175">
        <v>8737</v>
      </c>
      <c r="L10" s="175">
        <f t="shared" si="0"/>
        <v>2290</v>
      </c>
      <c r="M10" s="175">
        <f t="shared" si="1"/>
        <v>1982</v>
      </c>
      <c r="N10" s="175">
        <f t="shared" si="2"/>
        <v>3215</v>
      </c>
      <c r="O10" s="175">
        <f t="shared" si="3"/>
        <v>2622</v>
      </c>
      <c r="P10" s="190">
        <f t="shared" si="4"/>
        <v>6703</v>
      </c>
      <c r="Q10" s="176">
        <f t="shared" si="5"/>
        <v>3362.4</v>
      </c>
      <c r="R10" s="47"/>
    </row>
    <row r="11" spans="1:18" x14ac:dyDescent="0.25">
      <c r="A11" s="144" t="s">
        <v>7</v>
      </c>
      <c r="B11" s="46">
        <v>31335</v>
      </c>
      <c r="C11" s="46">
        <v>30737</v>
      </c>
      <c r="D11" s="46">
        <v>33133</v>
      </c>
      <c r="E11" s="175">
        <v>34896</v>
      </c>
      <c r="F11" s="175">
        <v>27438</v>
      </c>
      <c r="G11" s="175">
        <v>24383</v>
      </c>
      <c r="H11" s="175">
        <v>24123</v>
      </c>
      <c r="I11" s="175">
        <v>24014</v>
      </c>
      <c r="J11" s="175">
        <v>23362</v>
      </c>
      <c r="K11" s="175">
        <v>12404</v>
      </c>
      <c r="L11" s="175">
        <f t="shared" si="0"/>
        <v>6952</v>
      </c>
      <c r="M11" s="175">
        <f t="shared" si="1"/>
        <v>6614</v>
      </c>
      <c r="N11" s="175">
        <f t="shared" si="2"/>
        <v>9119</v>
      </c>
      <c r="O11" s="175">
        <f t="shared" si="3"/>
        <v>11534</v>
      </c>
      <c r="P11" s="190">
        <f t="shared" si="4"/>
        <v>15034</v>
      </c>
      <c r="Q11" s="176">
        <f t="shared" si="5"/>
        <v>9850.6</v>
      </c>
      <c r="R11" s="47"/>
    </row>
    <row r="12" spans="1:18" x14ac:dyDescent="0.25">
      <c r="A12" s="144" t="s">
        <v>8</v>
      </c>
      <c r="B12" s="46">
        <v>63719</v>
      </c>
      <c r="C12" s="46">
        <v>63650</v>
      </c>
      <c r="D12" s="46">
        <v>65295</v>
      </c>
      <c r="E12" s="175">
        <v>67687</v>
      </c>
      <c r="F12" s="175">
        <v>50675</v>
      </c>
      <c r="G12" s="175">
        <v>42450</v>
      </c>
      <c r="H12" s="175">
        <v>44265</v>
      </c>
      <c r="I12" s="175">
        <v>44181</v>
      </c>
      <c r="J12" s="175">
        <v>59680</v>
      </c>
      <c r="K12" s="175">
        <v>23022</v>
      </c>
      <c r="L12" s="175">
        <f t="shared" si="0"/>
        <v>21269</v>
      </c>
      <c r="M12" s="175">
        <f t="shared" si="1"/>
        <v>19385</v>
      </c>
      <c r="N12" s="175">
        <f t="shared" si="2"/>
        <v>21114</v>
      </c>
      <c r="O12" s="175">
        <f t="shared" si="3"/>
        <v>8007</v>
      </c>
      <c r="P12" s="190">
        <f t="shared" si="4"/>
        <v>27653</v>
      </c>
      <c r="Q12" s="176">
        <f t="shared" si="5"/>
        <v>19485.599999999999</v>
      </c>
      <c r="R12" s="47"/>
    </row>
    <row r="13" spans="1:18" x14ac:dyDescent="0.25">
      <c r="A13" s="144" t="s">
        <v>9</v>
      </c>
      <c r="B13" s="46">
        <v>6214</v>
      </c>
      <c r="C13" s="46">
        <v>5789</v>
      </c>
      <c r="D13" s="46">
        <v>6215</v>
      </c>
      <c r="E13" s="175">
        <v>6635</v>
      </c>
      <c r="F13" s="175">
        <v>5173</v>
      </c>
      <c r="G13" s="175">
        <v>5820</v>
      </c>
      <c r="H13" s="175">
        <v>5867</v>
      </c>
      <c r="I13" s="175">
        <v>5653</v>
      </c>
      <c r="J13" s="175">
        <v>5803</v>
      </c>
      <c r="K13" s="175">
        <v>2785</v>
      </c>
      <c r="L13" s="175">
        <f t="shared" si="0"/>
        <v>394</v>
      </c>
      <c r="M13" s="175">
        <f t="shared" si="1"/>
        <v>-78</v>
      </c>
      <c r="N13" s="175">
        <f t="shared" si="2"/>
        <v>562</v>
      </c>
      <c r="O13" s="175">
        <f t="shared" si="3"/>
        <v>832</v>
      </c>
      <c r="P13" s="190">
        <f t="shared" si="4"/>
        <v>2388</v>
      </c>
      <c r="Q13" s="176">
        <f t="shared" si="5"/>
        <v>819.6</v>
      </c>
      <c r="R13" s="47"/>
    </row>
    <row r="14" spans="1:18" x14ac:dyDescent="0.25">
      <c r="A14" s="144" t="s">
        <v>10</v>
      </c>
      <c r="B14" s="46">
        <v>13246</v>
      </c>
      <c r="C14" s="46">
        <v>13499</v>
      </c>
      <c r="D14" s="46">
        <v>15070</v>
      </c>
      <c r="E14" s="175">
        <v>14917</v>
      </c>
      <c r="F14" s="175">
        <v>11067</v>
      </c>
      <c r="G14" s="175">
        <v>10417</v>
      </c>
      <c r="H14" s="175">
        <v>10797</v>
      </c>
      <c r="I14" s="175">
        <v>11414</v>
      </c>
      <c r="J14" s="175">
        <v>10808</v>
      </c>
      <c r="K14" s="175">
        <v>5438</v>
      </c>
      <c r="L14" s="175">
        <f t="shared" si="0"/>
        <v>2829</v>
      </c>
      <c r="M14" s="175">
        <f t="shared" si="1"/>
        <v>2702</v>
      </c>
      <c r="N14" s="175">
        <f t="shared" si="2"/>
        <v>3656</v>
      </c>
      <c r="O14" s="175">
        <f t="shared" si="3"/>
        <v>4109</v>
      </c>
      <c r="P14" s="190">
        <f t="shared" si="4"/>
        <v>5629</v>
      </c>
      <c r="Q14" s="176">
        <f t="shared" si="5"/>
        <v>3785</v>
      </c>
      <c r="R14" s="47"/>
    </row>
    <row r="15" spans="1:18" x14ac:dyDescent="0.25">
      <c r="A15" s="144" t="s">
        <v>11</v>
      </c>
      <c r="B15" s="46">
        <v>7918</v>
      </c>
      <c r="C15" s="46">
        <v>7574</v>
      </c>
      <c r="D15" s="46">
        <v>8231</v>
      </c>
      <c r="E15" s="175">
        <v>9029</v>
      </c>
      <c r="F15" s="175">
        <v>7120</v>
      </c>
      <c r="G15" s="175">
        <v>6657</v>
      </c>
      <c r="H15" s="175">
        <v>6663</v>
      </c>
      <c r="I15" s="175">
        <v>6575</v>
      </c>
      <c r="J15" s="175">
        <v>6463</v>
      </c>
      <c r="K15" s="175">
        <v>3424</v>
      </c>
      <c r="L15" s="175">
        <f t="shared" si="0"/>
        <v>1261</v>
      </c>
      <c r="M15" s="175">
        <f t="shared" si="1"/>
        <v>911</v>
      </c>
      <c r="N15" s="175">
        <f t="shared" si="2"/>
        <v>1656</v>
      </c>
      <c r="O15" s="175">
        <f t="shared" si="3"/>
        <v>2566</v>
      </c>
      <c r="P15" s="190">
        <f t="shared" si="4"/>
        <v>3696</v>
      </c>
      <c r="Q15" s="176">
        <f t="shared" si="5"/>
        <v>2018</v>
      </c>
      <c r="R15" s="47"/>
    </row>
    <row r="16" spans="1:18" x14ac:dyDescent="0.25">
      <c r="A16" s="144" t="s">
        <v>12</v>
      </c>
      <c r="B16" s="46">
        <v>24754</v>
      </c>
      <c r="C16" s="46">
        <v>24374</v>
      </c>
      <c r="D16" s="46">
        <v>26964</v>
      </c>
      <c r="E16" s="175">
        <v>27457</v>
      </c>
      <c r="F16" s="175">
        <v>20309</v>
      </c>
      <c r="G16" s="175">
        <v>19408</v>
      </c>
      <c r="H16" s="175">
        <v>19842</v>
      </c>
      <c r="I16" s="175">
        <v>20075</v>
      </c>
      <c r="J16" s="175">
        <v>23767</v>
      </c>
      <c r="K16" s="175">
        <v>11351</v>
      </c>
      <c r="L16" s="175">
        <f t="shared" si="0"/>
        <v>5346</v>
      </c>
      <c r="M16" s="175">
        <f t="shared" si="1"/>
        <v>4532</v>
      </c>
      <c r="N16" s="175">
        <f t="shared" si="2"/>
        <v>6889</v>
      </c>
      <c r="O16" s="175">
        <f t="shared" si="3"/>
        <v>3690</v>
      </c>
      <c r="P16" s="190">
        <f t="shared" si="4"/>
        <v>8958</v>
      </c>
      <c r="Q16" s="176">
        <f t="shared" si="5"/>
        <v>5883</v>
      </c>
      <c r="R16" s="47"/>
    </row>
    <row r="17" spans="1:18" x14ac:dyDescent="0.25">
      <c r="A17" s="144" t="s">
        <v>13</v>
      </c>
      <c r="B17" s="46">
        <v>33785</v>
      </c>
      <c r="C17" s="46">
        <v>32448</v>
      </c>
      <c r="D17" s="46">
        <v>33928</v>
      </c>
      <c r="E17" s="175">
        <v>34980</v>
      </c>
      <c r="F17" s="175">
        <v>26730</v>
      </c>
      <c r="G17" s="175">
        <v>29861</v>
      </c>
      <c r="H17" s="175">
        <v>30968</v>
      </c>
      <c r="I17" s="175">
        <v>30245</v>
      </c>
      <c r="J17" s="175">
        <v>31222</v>
      </c>
      <c r="K17" s="175">
        <v>14939</v>
      </c>
      <c r="L17" s="175">
        <f t="shared" si="0"/>
        <v>3924</v>
      </c>
      <c r="M17" s="175">
        <f t="shared" si="1"/>
        <v>1480</v>
      </c>
      <c r="N17" s="175">
        <f t="shared" si="2"/>
        <v>3683</v>
      </c>
      <c r="O17" s="175">
        <f t="shared" si="3"/>
        <v>3758</v>
      </c>
      <c r="P17" s="190">
        <f t="shared" si="4"/>
        <v>11791</v>
      </c>
      <c r="Q17" s="176">
        <f t="shared" si="5"/>
        <v>4927.2</v>
      </c>
      <c r="R17" s="47"/>
    </row>
    <row r="18" spans="1:18" x14ac:dyDescent="0.25">
      <c r="A18" s="144" t="s">
        <v>14</v>
      </c>
      <c r="B18" s="46">
        <v>8275</v>
      </c>
      <c r="C18" s="46">
        <v>8590</v>
      </c>
      <c r="D18" s="46">
        <v>9371</v>
      </c>
      <c r="E18" s="175">
        <v>9683</v>
      </c>
      <c r="F18" s="175">
        <v>6803</v>
      </c>
      <c r="G18" s="175">
        <v>7733</v>
      </c>
      <c r="H18" s="175">
        <v>7865</v>
      </c>
      <c r="I18" s="175">
        <v>7890</v>
      </c>
      <c r="J18" s="175">
        <v>7787</v>
      </c>
      <c r="K18" s="175">
        <v>4196</v>
      </c>
      <c r="L18" s="175">
        <f t="shared" si="0"/>
        <v>542</v>
      </c>
      <c r="M18" s="175">
        <f t="shared" si="1"/>
        <v>725</v>
      </c>
      <c r="N18" s="175">
        <f t="shared" si="2"/>
        <v>1481</v>
      </c>
      <c r="O18" s="175">
        <f t="shared" si="3"/>
        <v>1896</v>
      </c>
      <c r="P18" s="190">
        <f t="shared" si="4"/>
        <v>2607</v>
      </c>
      <c r="Q18" s="176">
        <f t="shared" si="5"/>
        <v>1450.2</v>
      </c>
      <c r="R18" s="47"/>
    </row>
    <row r="19" spans="1:18" x14ac:dyDescent="0.25">
      <c r="A19" s="144" t="s">
        <v>15</v>
      </c>
      <c r="B19" s="46">
        <v>9717</v>
      </c>
      <c r="C19" s="46">
        <v>9577</v>
      </c>
      <c r="D19" s="46">
        <v>10346</v>
      </c>
      <c r="E19" s="175">
        <v>11218</v>
      </c>
      <c r="F19" s="175">
        <v>8572</v>
      </c>
      <c r="G19" s="175">
        <v>9047</v>
      </c>
      <c r="H19" s="175">
        <v>9120</v>
      </c>
      <c r="I19" s="175">
        <v>8919</v>
      </c>
      <c r="J19" s="175">
        <v>8865</v>
      </c>
      <c r="K19" s="175">
        <v>4483</v>
      </c>
      <c r="L19" s="175">
        <f t="shared" si="0"/>
        <v>670</v>
      </c>
      <c r="M19" s="175">
        <f t="shared" si="1"/>
        <v>457</v>
      </c>
      <c r="N19" s="175">
        <f t="shared" si="2"/>
        <v>1427</v>
      </c>
      <c r="O19" s="175">
        <f t="shared" si="3"/>
        <v>2353</v>
      </c>
      <c r="P19" s="190">
        <f t="shared" si="4"/>
        <v>4089</v>
      </c>
      <c r="Q19" s="176">
        <f t="shared" si="5"/>
        <v>1799.2</v>
      </c>
      <c r="R19" s="47"/>
    </row>
    <row r="20" spans="1:18" x14ac:dyDescent="0.25">
      <c r="A20" s="144" t="s">
        <v>16</v>
      </c>
      <c r="B20" s="46">
        <v>33093</v>
      </c>
      <c r="C20" s="46">
        <v>31510</v>
      </c>
      <c r="D20" s="46">
        <v>33712</v>
      </c>
      <c r="E20" s="175">
        <v>35715</v>
      </c>
      <c r="F20" s="175">
        <v>26630</v>
      </c>
      <c r="G20" s="175">
        <v>27766</v>
      </c>
      <c r="H20" s="175">
        <v>26790</v>
      </c>
      <c r="I20" s="175">
        <v>25730</v>
      </c>
      <c r="J20" s="175">
        <v>27446</v>
      </c>
      <c r="K20" s="175">
        <v>13024</v>
      </c>
      <c r="L20" s="175">
        <f t="shared" si="0"/>
        <v>5327</v>
      </c>
      <c r="M20" s="175">
        <f t="shared" si="1"/>
        <v>4720</v>
      </c>
      <c r="N20" s="175">
        <f t="shared" si="2"/>
        <v>7982</v>
      </c>
      <c r="O20" s="175">
        <f t="shared" si="3"/>
        <v>8269</v>
      </c>
      <c r="P20" s="190">
        <f t="shared" si="4"/>
        <v>13606</v>
      </c>
      <c r="Q20" s="176">
        <f t="shared" si="5"/>
        <v>7980.8</v>
      </c>
      <c r="R20" s="47"/>
    </row>
    <row r="21" spans="1:18" x14ac:dyDescent="0.25">
      <c r="A21" s="146" t="s">
        <v>17</v>
      </c>
      <c r="B21" s="49">
        <v>17526</v>
      </c>
      <c r="C21" s="49">
        <v>16752</v>
      </c>
      <c r="D21" s="49">
        <v>17891</v>
      </c>
      <c r="E21" s="177">
        <v>17844</v>
      </c>
      <c r="F21" s="177">
        <v>14158</v>
      </c>
      <c r="G21" s="177">
        <v>16117</v>
      </c>
      <c r="H21" s="177">
        <v>16191</v>
      </c>
      <c r="I21" s="177">
        <v>15632</v>
      </c>
      <c r="J21" s="177">
        <v>16211</v>
      </c>
      <c r="K21" s="177">
        <v>8025</v>
      </c>
      <c r="L21" s="177">
        <f t="shared" si="0"/>
        <v>1409</v>
      </c>
      <c r="M21" s="177">
        <f t="shared" si="1"/>
        <v>561</v>
      </c>
      <c r="N21" s="177">
        <f t="shared" si="2"/>
        <v>2259</v>
      </c>
      <c r="O21" s="177">
        <f t="shared" si="3"/>
        <v>1633</v>
      </c>
      <c r="P21" s="191">
        <f t="shared" si="4"/>
        <v>6133</v>
      </c>
      <c r="Q21" s="191">
        <f t="shared" si="5"/>
        <v>2399</v>
      </c>
      <c r="R21" s="47"/>
    </row>
    <row r="22" spans="1:18" x14ac:dyDescent="0.25">
      <c r="A22" s="179"/>
      <c r="B22" s="14"/>
      <c r="C22" s="14"/>
      <c r="D22" s="14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92"/>
      <c r="Q22" s="192"/>
      <c r="R22" s="47"/>
    </row>
    <row r="23" spans="1:18" x14ac:dyDescent="0.25">
      <c r="A23" s="3"/>
      <c r="B23" s="12"/>
      <c r="C23" s="12"/>
      <c r="D23" s="1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3"/>
      <c r="Q23" s="163"/>
    </row>
    <row r="24" spans="1:18" x14ac:dyDescent="0.25">
      <c r="A24" s="33" t="s">
        <v>379</v>
      </c>
      <c r="B24" s="114"/>
      <c r="C24" s="114"/>
      <c r="D24" s="11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5"/>
      <c r="Q24" s="166"/>
    </row>
    <row r="25" spans="1:18" x14ac:dyDescent="0.25">
      <c r="A25" s="3"/>
      <c r="B25" s="12"/>
      <c r="C25" s="12"/>
      <c r="D25" s="1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3"/>
      <c r="Q25" s="163"/>
    </row>
    <row r="26" spans="1:18" x14ac:dyDescent="0.25">
      <c r="A26" s="33" t="s">
        <v>380</v>
      </c>
      <c r="B26" s="114"/>
      <c r="C26" s="114"/>
      <c r="D26" s="11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5"/>
      <c r="Q26" s="166"/>
    </row>
    <row r="27" spans="1:18" x14ac:dyDescent="0.25">
      <c r="A27" s="117"/>
      <c r="B27" s="12"/>
      <c r="C27" s="12"/>
      <c r="D27" s="1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3"/>
      <c r="Q27" s="163"/>
    </row>
    <row r="28" spans="1:18" x14ac:dyDescent="0.25">
      <c r="A28" s="33" t="s">
        <v>381</v>
      </c>
      <c r="B28" s="114"/>
      <c r="C28" s="114"/>
      <c r="D28" s="11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5"/>
      <c r="Q28" s="166"/>
    </row>
    <row r="29" spans="1:18" x14ac:dyDescent="0.25">
      <c r="A29" s="117"/>
      <c r="B29" s="12"/>
      <c r="C29" s="12"/>
      <c r="D29" s="1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3"/>
      <c r="Q29" s="163"/>
    </row>
    <row r="30" spans="1:18" x14ac:dyDescent="0.25">
      <c r="A30" s="33" t="s">
        <v>382</v>
      </c>
      <c r="B30" s="114"/>
      <c r="C30" s="114"/>
      <c r="D30" s="11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5"/>
      <c r="Q30" s="166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27"/>
  <sheetViews>
    <sheetView zoomScale="90" zoomScaleNormal="90" workbookViewId="0">
      <selection activeCell="D39" sqref="D39"/>
    </sheetView>
  </sheetViews>
  <sheetFormatPr defaultRowHeight="15" x14ac:dyDescent="0.25"/>
  <cols>
    <col min="1" max="1" width="25" customWidth="1"/>
    <col min="2" max="2" width="10.28515625" customWidth="1"/>
    <col min="3" max="3" width="14.140625" customWidth="1"/>
    <col min="4" max="7" width="11.85546875" customWidth="1"/>
    <col min="8" max="8" width="11" customWidth="1"/>
    <col min="9" max="9" width="13.28515625" customWidth="1"/>
    <col min="10" max="12" width="11.85546875" customWidth="1"/>
    <col min="13" max="13" width="13" customWidth="1"/>
    <col min="14" max="14" width="10.140625" customWidth="1"/>
    <col min="15" max="19" width="13" customWidth="1"/>
    <col min="20" max="20" width="14.7109375" customWidth="1"/>
    <col min="21" max="21" width="13" customWidth="1"/>
    <col min="22" max="22" width="13.7109375" customWidth="1"/>
    <col min="23" max="25" width="13" customWidth="1"/>
  </cols>
  <sheetData>
    <row r="1" spans="1:26" x14ac:dyDescent="0.25">
      <c r="A1" s="167" t="s">
        <v>24</v>
      </c>
      <c r="B1" s="168" t="s">
        <v>25</v>
      </c>
      <c r="C1" s="168" t="s">
        <v>277</v>
      </c>
      <c r="D1" s="169" t="s">
        <v>278</v>
      </c>
      <c r="E1" s="169" t="s">
        <v>279</v>
      </c>
      <c r="F1" s="169" t="s">
        <v>280</v>
      </c>
      <c r="G1" s="169" t="s">
        <v>281</v>
      </c>
      <c r="H1" s="170" t="s">
        <v>26</v>
      </c>
      <c r="I1" s="170" t="s">
        <v>282</v>
      </c>
      <c r="J1" s="171" t="s">
        <v>283</v>
      </c>
      <c r="K1" s="171" t="s">
        <v>284</v>
      </c>
      <c r="L1" s="171" t="s">
        <v>285</v>
      </c>
      <c r="M1" s="172" t="s">
        <v>286</v>
      </c>
      <c r="N1" s="173" t="s">
        <v>27</v>
      </c>
      <c r="O1" s="171" t="s">
        <v>287</v>
      </c>
      <c r="P1" s="171" t="s">
        <v>288</v>
      </c>
      <c r="Q1" s="171" t="s">
        <v>289</v>
      </c>
      <c r="R1" s="172" t="s">
        <v>290</v>
      </c>
      <c r="S1" s="172" t="s">
        <v>291</v>
      </c>
      <c r="T1" s="168" t="s">
        <v>28</v>
      </c>
      <c r="U1" s="168" t="s">
        <v>292</v>
      </c>
      <c r="V1" s="169" t="s">
        <v>293</v>
      </c>
      <c r="W1" s="169" t="s">
        <v>294</v>
      </c>
      <c r="X1" s="169" t="s">
        <v>295</v>
      </c>
      <c r="Y1" s="169" t="s">
        <v>296</v>
      </c>
      <c r="Z1" s="47"/>
    </row>
    <row r="2" spans="1:26" ht="104.25" customHeight="1" x14ac:dyDescent="0.25">
      <c r="A2" s="137" t="s">
        <v>18</v>
      </c>
      <c r="B2" s="140" t="s">
        <v>31</v>
      </c>
      <c r="C2" s="140"/>
      <c r="D2" s="140"/>
      <c r="E2" s="140"/>
      <c r="F2" s="140"/>
      <c r="G2" s="140"/>
      <c r="H2" s="138" t="s">
        <v>94</v>
      </c>
      <c r="I2" s="139"/>
      <c r="J2" s="139"/>
      <c r="K2" s="139"/>
      <c r="L2" s="139"/>
      <c r="M2" s="137"/>
      <c r="N2" s="138" t="s">
        <v>32</v>
      </c>
      <c r="O2" s="139"/>
      <c r="P2" s="139"/>
      <c r="Q2" s="139"/>
      <c r="R2" s="139"/>
      <c r="S2" s="137"/>
      <c r="T2" s="140" t="s">
        <v>53</v>
      </c>
      <c r="U2" s="140"/>
      <c r="V2" s="140"/>
      <c r="W2" s="140"/>
      <c r="X2" s="140"/>
      <c r="Y2" s="140"/>
      <c r="Z2" s="47"/>
    </row>
    <row r="3" spans="1:26" ht="15" customHeight="1" x14ac:dyDescent="0.25">
      <c r="A3" s="137"/>
      <c r="B3" s="95" t="s">
        <v>19</v>
      </c>
      <c r="C3" s="96" t="s">
        <v>60</v>
      </c>
      <c r="D3" s="97" t="s">
        <v>20</v>
      </c>
      <c r="E3" s="97" t="s">
        <v>21</v>
      </c>
      <c r="F3" s="97" t="s">
        <v>22</v>
      </c>
      <c r="G3" s="97" t="s">
        <v>23</v>
      </c>
      <c r="H3" s="95" t="s">
        <v>19</v>
      </c>
      <c r="I3" s="96" t="s">
        <v>60</v>
      </c>
      <c r="J3" s="97" t="s">
        <v>20</v>
      </c>
      <c r="K3" s="97" t="s">
        <v>21</v>
      </c>
      <c r="L3" s="97" t="s">
        <v>22</v>
      </c>
      <c r="M3" s="97" t="s">
        <v>23</v>
      </c>
      <c r="N3" s="95" t="s">
        <v>19</v>
      </c>
      <c r="O3" s="97" t="s">
        <v>20</v>
      </c>
      <c r="P3" s="97" t="s">
        <v>21</v>
      </c>
      <c r="Q3" s="97" t="s">
        <v>22</v>
      </c>
      <c r="R3" s="97" t="s">
        <v>23</v>
      </c>
      <c r="S3" s="96" t="s">
        <v>84</v>
      </c>
      <c r="T3" s="95" t="s">
        <v>19</v>
      </c>
      <c r="U3" s="96" t="s">
        <v>60</v>
      </c>
      <c r="V3" s="97" t="s">
        <v>20</v>
      </c>
      <c r="W3" s="97" t="s">
        <v>21</v>
      </c>
      <c r="X3" s="97" t="s">
        <v>22</v>
      </c>
      <c r="Y3" s="97" t="s">
        <v>23</v>
      </c>
      <c r="Z3" s="47"/>
    </row>
    <row r="4" spans="1:26" s="2" customFormat="1" x14ac:dyDescent="0.25">
      <c r="A4" s="137"/>
      <c r="B4" s="101" t="s">
        <v>0</v>
      </c>
      <c r="C4" s="101">
        <v>2017</v>
      </c>
      <c r="D4" s="101" t="s">
        <v>0</v>
      </c>
      <c r="E4" s="101" t="s">
        <v>0</v>
      </c>
      <c r="F4" s="101" t="s">
        <v>0</v>
      </c>
      <c r="G4" s="101" t="s">
        <v>0</v>
      </c>
      <c r="H4" s="101">
        <v>2018</v>
      </c>
      <c r="I4" s="101">
        <v>2018</v>
      </c>
      <c r="J4" s="101">
        <v>2018</v>
      </c>
      <c r="K4" s="101">
        <v>2018</v>
      </c>
      <c r="L4" s="101">
        <v>2018</v>
      </c>
      <c r="M4" s="101">
        <v>2018</v>
      </c>
      <c r="N4" s="101">
        <v>2019</v>
      </c>
      <c r="O4" s="101">
        <v>2019</v>
      </c>
      <c r="P4" s="101">
        <v>2019</v>
      </c>
      <c r="Q4" s="101">
        <v>2019</v>
      </c>
      <c r="R4" s="101">
        <v>2019</v>
      </c>
      <c r="S4" s="101">
        <v>2019</v>
      </c>
      <c r="T4" s="101">
        <v>2020</v>
      </c>
      <c r="U4" s="101">
        <v>2020</v>
      </c>
      <c r="V4" s="101">
        <v>2020</v>
      </c>
      <c r="W4" s="101">
        <v>2020</v>
      </c>
      <c r="X4" s="101">
        <v>2020</v>
      </c>
      <c r="Y4" s="101">
        <v>2020</v>
      </c>
      <c r="Z4" s="174"/>
    </row>
    <row r="5" spans="1:26" x14ac:dyDescent="0.25">
      <c r="A5" s="144" t="s">
        <v>1</v>
      </c>
      <c r="B5" s="175">
        <v>2077027</v>
      </c>
      <c r="C5" s="175">
        <f>SUM(D5:F5)</f>
        <v>2073386</v>
      </c>
      <c r="D5" s="175">
        <v>2004288</v>
      </c>
      <c r="E5" s="175">
        <v>53763</v>
      </c>
      <c r="F5" s="175">
        <v>15335</v>
      </c>
      <c r="G5" s="175">
        <v>3641</v>
      </c>
      <c r="H5" s="175">
        <v>2150288</v>
      </c>
      <c r="I5" s="175">
        <f>SUM(J5:L5)</f>
        <v>2146614</v>
      </c>
      <c r="J5" s="175">
        <v>2078742</v>
      </c>
      <c r="K5" s="175">
        <v>52662</v>
      </c>
      <c r="L5" s="175">
        <v>15210</v>
      </c>
      <c r="M5" s="175">
        <v>3674</v>
      </c>
      <c r="N5" s="176">
        <f>SUM(O5:R5)</f>
        <v>2285104.0000000005</v>
      </c>
      <c r="O5" s="176">
        <f>SUM(O6:O21)</f>
        <v>2214489.122705928</v>
      </c>
      <c r="P5" s="176">
        <f>SUM(P6:P21)</f>
        <v>51925.265010750656</v>
      </c>
      <c r="Q5" s="176">
        <f>SUM(Q6:Q21)</f>
        <v>15034.317175037675</v>
      </c>
      <c r="R5" s="176">
        <f>SUM(R6:R21)</f>
        <v>3655.2951082838472</v>
      </c>
      <c r="S5" s="176">
        <f>SUM(O5:Q5)</f>
        <v>2281448.7048917166</v>
      </c>
      <c r="T5" s="46">
        <f>SUM(V5:Y5)</f>
        <v>2363451.1999999997</v>
      </c>
      <c r="U5" s="46">
        <f>SUM(V5:X5)</f>
        <v>2359822.1444959929</v>
      </c>
      <c r="V5" s="46">
        <f>SUM(V6:V21)</f>
        <v>2293821.1664821715</v>
      </c>
      <c r="W5" s="46">
        <f>SUM(W6:W21)</f>
        <v>51134.171363295987</v>
      </c>
      <c r="X5" s="46">
        <f>SUM(X6:X21)</f>
        <v>14866.806650525248</v>
      </c>
      <c r="Y5" s="46">
        <f>SUM(Y6:Y21)</f>
        <v>3629.0555040069248</v>
      </c>
      <c r="Z5" s="47"/>
    </row>
    <row r="6" spans="1:26" x14ac:dyDescent="0.25">
      <c r="A6" s="144" t="s">
        <v>2</v>
      </c>
      <c r="B6" s="175">
        <v>167531</v>
      </c>
      <c r="C6" s="175">
        <f t="shared" ref="C6:C21" si="0">SUM(D6:F6)</f>
        <v>167191</v>
      </c>
      <c r="D6" s="175">
        <v>162151</v>
      </c>
      <c r="E6" s="175">
        <v>3914</v>
      </c>
      <c r="F6" s="175">
        <v>1126</v>
      </c>
      <c r="G6" s="175">
        <v>340</v>
      </c>
      <c r="H6" s="175">
        <v>172896</v>
      </c>
      <c r="I6" s="175">
        <f t="shared" ref="I6:I21" si="1">SUM(J6:L6)</f>
        <v>172554</v>
      </c>
      <c r="J6" s="175">
        <v>167554</v>
      </c>
      <c r="K6" s="175">
        <v>3883</v>
      </c>
      <c r="L6" s="175">
        <v>1117</v>
      </c>
      <c r="M6" s="175">
        <v>342</v>
      </c>
      <c r="N6" s="176">
        <f t="shared" ref="N6:N21" si="2">SUM(O6:R6)</f>
        <v>184730</v>
      </c>
      <c r="O6" s="176">
        <f>SUM(H6+'5.1.3 Przeds. nowopowst.'!P6)-SUM('5.1.3 Przeds. niefinansowe'!P6+Q6+R6)</f>
        <v>179486.57630529703</v>
      </c>
      <c r="P6" s="176">
        <f>K6*'5.1.3 Podmioty REGON'!AR6</f>
        <v>3802.9261805140463</v>
      </c>
      <c r="Q6" s="176">
        <f>L6*'5.1.3 Podmioty REGON'!AS6</f>
        <v>1099.4554973821989</v>
      </c>
      <c r="R6" s="176">
        <f>M6*'5.1.3 Podmioty REGON'!AT6</f>
        <v>341.0420168067227</v>
      </c>
      <c r="S6" s="176">
        <f t="shared" ref="S6:S21" si="3">SUM(O6:Q6)</f>
        <v>184388.95798319328</v>
      </c>
      <c r="T6" s="46">
        <f t="shared" ref="T6:T21" si="4">SUM(V6:Y6)</f>
        <v>191951.40000000002</v>
      </c>
      <c r="U6" s="46">
        <f t="shared" ref="U6:U21" si="5">SUM(V6:X6)</f>
        <v>191611.2839820529</v>
      </c>
      <c r="V6" s="46">
        <f>SUM(N6+'5.1.3 Przeds. nowopowst.'!Q6)-SUM('5.1.3 Przeds. niefinansowe'!W6+X6+Y6)</f>
        <v>186760.1267493543</v>
      </c>
      <c r="W6" s="46">
        <f>P6*'5.1.3 Podmioty REGON'!AW6</f>
        <v>3757.4438525190267</v>
      </c>
      <c r="X6" s="46">
        <f>Q6*'5.1.3 Podmioty REGON'!AX6</f>
        <v>1093.7133801795619</v>
      </c>
      <c r="Y6" s="46">
        <f>R6*'5.1.3 Podmioty REGON'!AY6</f>
        <v>340.11601794710845</v>
      </c>
      <c r="Z6" s="47"/>
    </row>
    <row r="7" spans="1:26" x14ac:dyDescent="0.25">
      <c r="A7" s="144" t="s">
        <v>3</v>
      </c>
      <c r="B7" s="175">
        <v>95060</v>
      </c>
      <c r="C7" s="175">
        <f t="shared" si="0"/>
        <v>94874</v>
      </c>
      <c r="D7" s="175">
        <v>91351</v>
      </c>
      <c r="E7" s="175">
        <v>2730</v>
      </c>
      <c r="F7" s="175">
        <v>793</v>
      </c>
      <c r="G7" s="175">
        <v>186</v>
      </c>
      <c r="H7" s="175">
        <v>98308</v>
      </c>
      <c r="I7" s="175">
        <f t="shared" si="1"/>
        <v>98127</v>
      </c>
      <c r="J7" s="175">
        <v>94716</v>
      </c>
      <c r="K7" s="175">
        <v>2635</v>
      </c>
      <c r="L7" s="175">
        <v>776</v>
      </c>
      <c r="M7" s="175">
        <v>181</v>
      </c>
      <c r="N7" s="176">
        <f t="shared" si="2"/>
        <v>104101</v>
      </c>
      <c r="O7" s="176">
        <f>SUM(H7+'5.1.3 Przeds. nowopowst.'!P7)-SUM('5.1.3 Przeds. niefinansowe'!P7+Q7+R7)</f>
        <v>100562.5159873107</v>
      </c>
      <c r="P7" s="176">
        <f>K7*'5.1.3 Podmioty REGON'!AR7</f>
        <v>2604.9561467621693</v>
      </c>
      <c r="Q7" s="176">
        <f>L7*'5.1.3 Podmioty REGON'!AS7</f>
        <v>755.86427145708581</v>
      </c>
      <c r="R7" s="176">
        <f>M7*'5.1.3 Podmioty REGON'!AT7</f>
        <v>177.66359447004606</v>
      </c>
      <c r="S7" s="176">
        <f t="shared" si="3"/>
        <v>103923.33640552996</v>
      </c>
      <c r="T7" s="46">
        <f t="shared" si="4"/>
        <v>106672.4</v>
      </c>
      <c r="U7" s="46">
        <f t="shared" si="5"/>
        <v>106495.11952598924</v>
      </c>
      <c r="V7" s="46">
        <f>SUM(N7+'5.1.3 Przeds. nowopowst.'!Q7)-SUM('5.1.3 Przeds. niefinansowe'!W7+X7+Y7)</f>
        <v>103167.04431557113</v>
      </c>
      <c r="W7" s="46">
        <f>P7*'5.1.3 Podmioty REGON'!AW7</f>
        <v>2583.8467180515549</v>
      </c>
      <c r="X7" s="46">
        <f>Q7*'5.1.3 Podmioty REGON'!AX7</f>
        <v>744.22849236655816</v>
      </c>
      <c r="Y7" s="46">
        <f>R7*'5.1.3 Podmioty REGON'!AY7</f>
        <v>177.28047401075435</v>
      </c>
      <c r="Z7" s="47"/>
    </row>
    <row r="8" spans="1:26" x14ac:dyDescent="0.25">
      <c r="A8" s="144" t="s">
        <v>4</v>
      </c>
      <c r="B8" s="175">
        <v>85853</v>
      </c>
      <c r="C8" s="175">
        <f t="shared" si="0"/>
        <v>85753</v>
      </c>
      <c r="D8" s="175">
        <v>82820</v>
      </c>
      <c r="E8" s="175">
        <v>2397</v>
      </c>
      <c r="F8" s="175">
        <v>536</v>
      </c>
      <c r="G8" s="175">
        <v>100</v>
      </c>
      <c r="H8" s="175">
        <v>89950</v>
      </c>
      <c r="I8" s="175">
        <f t="shared" si="1"/>
        <v>89854</v>
      </c>
      <c r="J8" s="175">
        <v>87165</v>
      </c>
      <c r="K8" s="175">
        <v>2161</v>
      </c>
      <c r="L8" s="175">
        <v>528</v>
      </c>
      <c r="M8" s="175">
        <v>96</v>
      </c>
      <c r="N8" s="176">
        <f t="shared" si="2"/>
        <v>95079</v>
      </c>
      <c r="O8" s="176">
        <f>SUM(H8+'5.1.3 Przeds. nowopowst.'!P8)-SUM('5.1.3 Przeds. niefinansowe'!P8+Q8+R8)</f>
        <v>92369.84138218232</v>
      </c>
      <c r="P8" s="176">
        <f>K8*'5.1.3 Podmioty REGON'!AR8</f>
        <v>2097.8826357969724</v>
      </c>
      <c r="Q8" s="176">
        <f>L8*'5.1.3 Podmioty REGON'!AS8</f>
        <v>516.0201680672269</v>
      </c>
      <c r="R8" s="176">
        <f>M8*'5.1.3 Podmioty REGON'!AT8</f>
        <v>95.255813953488371</v>
      </c>
      <c r="S8" s="176">
        <f t="shared" si="3"/>
        <v>94983.744186046519</v>
      </c>
      <c r="T8" s="46">
        <f t="shared" si="4"/>
        <v>98363.6</v>
      </c>
      <c r="U8" s="46">
        <f t="shared" si="5"/>
        <v>98269.599115190867</v>
      </c>
      <c r="V8" s="46">
        <f>SUM(N8+'5.1.3 Przeds. nowopowst.'!Q8)-SUM('5.1.3 Przeds. niefinansowe'!W8+X8+Y8)</f>
        <v>95687.426974064714</v>
      </c>
      <c r="W8" s="46">
        <f>P8*'5.1.3 Podmioty REGON'!AW8</f>
        <v>2072.5675955071056</v>
      </c>
      <c r="X8" s="46">
        <f>Q8*'5.1.3 Podmioty REGON'!AX8</f>
        <v>509.60454561904635</v>
      </c>
      <c r="Y8" s="46">
        <f>R8*'5.1.3 Podmioty REGON'!AY8</f>
        <v>94.000884809132828</v>
      </c>
      <c r="Z8" s="47"/>
    </row>
    <row r="9" spans="1:26" x14ac:dyDescent="0.25">
      <c r="A9" s="144" t="s">
        <v>5</v>
      </c>
      <c r="B9" s="175">
        <v>50038</v>
      </c>
      <c r="C9" s="175">
        <f t="shared" si="0"/>
        <v>49955</v>
      </c>
      <c r="D9" s="175">
        <v>48267</v>
      </c>
      <c r="E9" s="175">
        <v>1283</v>
      </c>
      <c r="F9" s="175">
        <v>405</v>
      </c>
      <c r="G9" s="175">
        <v>83</v>
      </c>
      <c r="H9" s="175">
        <v>51429</v>
      </c>
      <c r="I9" s="175">
        <f t="shared" si="1"/>
        <v>51348</v>
      </c>
      <c r="J9" s="175">
        <v>49662</v>
      </c>
      <c r="K9" s="175">
        <v>1288</v>
      </c>
      <c r="L9" s="175">
        <v>398</v>
      </c>
      <c r="M9" s="175">
        <v>81</v>
      </c>
      <c r="N9" s="176">
        <f t="shared" si="2"/>
        <v>55201.000000000007</v>
      </c>
      <c r="O9" s="176">
        <f>SUM(H9+'5.1.3 Przeds. nowopowst.'!P9)-SUM('5.1.3 Przeds. niefinansowe'!P9+Q9+R9)</f>
        <v>53456.248407149185</v>
      </c>
      <c r="P9" s="176">
        <f>K9*'5.1.3 Podmioty REGON'!AR9</f>
        <v>1268.4738910724313</v>
      </c>
      <c r="Q9" s="176">
        <f>L9*'5.1.3 Podmioty REGON'!AS9</f>
        <v>395.27770177838579</v>
      </c>
      <c r="R9" s="176">
        <f>M9*'5.1.3 Podmioty REGON'!AT9</f>
        <v>81</v>
      </c>
      <c r="S9" s="176">
        <f t="shared" si="3"/>
        <v>55120.000000000007</v>
      </c>
      <c r="T9" s="46">
        <f t="shared" si="4"/>
        <v>56710.200000000004</v>
      </c>
      <c r="U9" s="46">
        <f t="shared" si="5"/>
        <v>56630.097527472535</v>
      </c>
      <c r="V9" s="46">
        <f>SUM(N9+'5.1.3 Przeds. nowopowst.'!Q9)-SUM('5.1.3 Przeds. niefinansowe'!W9+X9+Y9)</f>
        <v>54996.55039043435</v>
      </c>
      <c r="W9" s="46">
        <f>P9*'5.1.3 Podmioty REGON'!AW9</f>
        <v>1239.9372105925909</v>
      </c>
      <c r="X9" s="46">
        <f>Q9*'5.1.3 Podmioty REGON'!AX9</f>
        <v>393.6099264455932</v>
      </c>
      <c r="Y9" s="46">
        <f>R9*'5.1.3 Podmioty REGON'!AY9</f>
        <v>80.102472527472528</v>
      </c>
      <c r="Z9" s="47"/>
    </row>
    <row r="10" spans="1:26" x14ac:dyDescent="0.25">
      <c r="A10" s="144" t="s">
        <v>6</v>
      </c>
      <c r="B10" s="175">
        <v>126803</v>
      </c>
      <c r="C10" s="175">
        <f t="shared" si="0"/>
        <v>126602</v>
      </c>
      <c r="D10" s="175">
        <v>122311</v>
      </c>
      <c r="E10" s="175">
        <v>3339</v>
      </c>
      <c r="F10" s="175">
        <v>952</v>
      </c>
      <c r="G10" s="175">
        <v>201</v>
      </c>
      <c r="H10" s="175">
        <v>129188</v>
      </c>
      <c r="I10" s="175">
        <f t="shared" si="1"/>
        <v>128986</v>
      </c>
      <c r="J10" s="175">
        <v>124824</v>
      </c>
      <c r="K10" s="175">
        <v>3239</v>
      </c>
      <c r="L10" s="175">
        <v>923</v>
      </c>
      <c r="M10" s="175">
        <v>202</v>
      </c>
      <c r="N10" s="176">
        <f t="shared" si="2"/>
        <v>135890.99999999997</v>
      </c>
      <c r="O10" s="176">
        <f>SUM(H10+'5.1.3 Przeds. nowopowst.'!P10)-SUM('5.1.3 Przeds. niefinansowe'!P10+Q10+R10)</f>
        <v>131606.1931157423</v>
      </c>
      <c r="P10" s="176">
        <f>K10*'5.1.3 Podmioty REGON'!AR10</f>
        <v>3178.4712542596458</v>
      </c>
      <c r="Q10" s="176">
        <f>L10*'5.1.3 Podmioty REGON'!AS10</f>
        <v>905.17729666471621</v>
      </c>
      <c r="R10" s="176">
        <f>M10*'5.1.3 Podmioty REGON'!AT10</f>
        <v>201.15833333333333</v>
      </c>
      <c r="S10" s="176">
        <f t="shared" si="3"/>
        <v>135689.84166666665</v>
      </c>
      <c r="T10" s="46">
        <f t="shared" si="4"/>
        <v>139253.39999999997</v>
      </c>
      <c r="U10" s="46">
        <f t="shared" si="5"/>
        <v>139055.26767954646</v>
      </c>
      <c r="V10" s="46">
        <f>SUM(N10+'5.1.3 Przeds. nowopowst.'!Q10)-SUM('5.1.3 Przeds. niefinansowe'!W10+X10+Y10)</f>
        <v>135043.33143364365</v>
      </c>
      <c r="W10" s="46">
        <f>P10*'5.1.3 Podmioty REGON'!AW10</f>
        <v>3120.9749515193162</v>
      </c>
      <c r="X10" s="46">
        <f>Q10*'5.1.3 Podmioty REGON'!AX10</f>
        <v>890.96129438349681</v>
      </c>
      <c r="Y10" s="46">
        <f>R10*'5.1.3 Podmioty REGON'!AY10</f>
        <v>198.13232045349588</v>
      </c>
      <c r="Z10" s="47"/>
    </row>
    <row r="11" spans="1:26" x14ac:dyDescent="0.25">
      <c r="A11" s="144" t="s">
        <v>7</v>
      </c>
      <c r="B11" s="175">
        <v>193435</v>
      </c>
      <c r="C11" s="175">
        <f t="shared" si="0"/>
        <v>193146</v>
      </c>
      <c r="D11" s="175">
        <v>186222</v>
      </c>
      <c r="E11" s="175">
        <v>5566</v>
      </c>
      <c r="F11" s="175">
        <v>1358</v>
      </c>
      <c r="G11" s="175">
        <v>289</v>
      </c>
      <c r="H11" s="175">
        <v>202741</v>
      </c>
      <c r="I11" s="175">
        <f t="shared" si="1"/>
        <v>202462</v>
      </c>
      <c r="J11" s="175">
        <v>195921</v>
      </c>
      <c r="K11" s="175">
        <v>5198</v>
      </c>
      <c r="L11" s="175">
        <v>1343</v>
      </c>
      <c r="M11" s="175">
        <v>279</v>
      </c>
      <c r="N11" s="176">
        <f t="shared" si="2"/>
        <v>217774.99999999997</v>
      </c>
      <c r="O11" s="176">
        <f>SUM(H11+'5.1.3 Przeds. nowopowst.'!P11)-SUM('5.1.3 Przeds. niefinansowe'!P11+Q11+R11)</f>
        <v>211067.00683393775</v>
      </c>
      <c r="P11" s="176">
        <f>K11*'5.1.3 Podmioty REGON'!AR11</f>
        <v>5114.0737408627201</v>
      </c>
      <c r="Q11" s="176">
        <f>L11*'5.1.3 Podmioty REGON'!AS11</f>
        <v>1318.9864805931095</v>
      </c>
      <c r="R11" s="176">
        <f>M11*'5.1.3 Podmioty REGON'!AT11</f>
        <v>274.93294460641397</v>
      </c>
      <c r="S11" s="176">
        <f t="shared" si="3"/>
        <v>217500.06705539356</v>
      </c>
      <c r="T11" s="46">
        <f t="shared" si="4"/>
        <v>227625.60000000001</v>
      </c>
      <c r="U11" s="46">
        <f t="shared" si="5"/>
        <v>227352.25248369275</v>
      </c>
      <c r="V11" s="46">
        <f>SUM(N11+'5.1.3 Przeds. nowopowst.'!Q11)-SUM('5.1.3 Przeds. niefinansowe'!W11+X11+Y11)</f>
        <v>221028.22200343222</v>
      </c>
      <c r="W11" s="46">
        <f>P11*'5.1.3 Podmioty REGON'!AW11</f>
        <v>5023.3826088997776</v>
      </c>
      <c r="X11" s="46">
        <f>Q11*'5.1.3 Podmioty REGON'!AX11</f>
        <v>1300.6478713607253</v>
      </c>
      <c r="Y11" s="46">
        <f>R11*'5.1.3 Podmioty REGON'!AY11</f>
        <v>273.3475163072477</v>
      </c>
      <c r="Z11" s="47"/>
    </row>
    <row r="12" spans="1:26" x14ac:dyDescent="0.25">
      <c r="A12" s="144" t="s">
        <v>8</v>
      </c>
      <c r="B12" s="175">
        <v>394842</v>
      </c>
      <c r="C12" s="175">
        <f t="shared" si="0"/>
        <v>393982</v>
      </c>
      <c r="D12" s="175">
        <v>382983</v>
      </c>
      <c r="E12" s="175">
        <v>8313</v>
      </c>
      <c r="F12" s="175">
        <v>2686</v>
      </c>
      <c r="G12" s="175">
        <v>860</v>
      </c>
      <c r="H12" s="175">
        <v>414956</v>
      </c>
      <c r="I12" s="175">
        <f t="shared" si="1"/>
        <v>414094</v>
      </c>
      <c r="J12" s="175">
        <v>402960</v>
      </c>
      <c r="K12" s="175">
        <v>8417</v>
      </c>
      <c r="L12" s="175">
        <v>2717</v>
      </c>
      <c r="M12" s="175">
        <v>862</v>
      </c>
      <c r="N12" s="176">
        <f t="shared" si="2"/>
        <v>442609</v>
      </c>
      <c r="O12" s="176">
        <f>SUM(H12+'5.1.3 Przeds. nowopowst.'!P12)-SUM('5.1.3 Przeds. niefinansowe'!P12+Q12+R12)</f>
        <v>430603.16304354946</v>
      </c>
      <c r="P12" s="176">
        <f>K12*'5.1.3 Podmioty REGON'!AR12</f>
        <v>8426.7661196751214</v>
      </c>
      <c r="Q12" s="176">
        <f>L12*'5.1.3 Podmioty REGON'!AS12</f>
        <v>2722.0201190720595</v>
      </c>
      <c r="R12" s="176">
        <f>M12*'5.1.3 Podmioty REGON'!AT12</f>
        <v>857.05071770334928</v>
      </c>
      <c r="S12" s="176">
        <f t="shared" si="3"/>
        <v>441751.94928229664</v>
      </c>
      <c r="T12" s="46">
        <f t="shared" si="4"/>
        <v>462094.6</v>
      </c>
      <c r="U12" s="46">
        <f t="shared" si="5"/>
        <v>461243.12186465482</v>
      </c>
      <c r="V12" s="46">
        <f>SUM(N12+'5.1.3 Przeds. nowopowst.'!Q12)-SUM('5.1.3 Przeds. niefinansowe'!W12+X12+Y12)</f>
        <v>450208.91062888014</v>
      </c>
      <c r="W12" s="46">
        <f>P12*'5.1.3 Podmioty REGON'!AW12</f>
        <v>8333.6046427008205</v>
      </c>
      <c r="X12" s="46">
        <f>Q12*'5.1.3 Podmioty REGON'!AX12</f>
        <v>2700.6065930738496</v>
      </c>
      <c r="Y12" s="46">
        <f>R12*'5.1.3 Podmioty REGON'!AY12</f>
        <v>851.47813534513591</v>
      </c>
      <c r="Z12" s="47"/>
    </row>
    <row r="13" spans="1:26" x14ac:dyDescent="0.25">
      <c r="A13" s="144" t="s">
        <v>9</v>
      </c>
      <c r="B13" s="175">
        <v>41227</v>
      </c>
      <c r="C13" s="175">
        <f t="shared" si="0"/>
        <v>41152</v>
      </c>
      <c r="D13" s="175">
        <v>39575</v>
      </c>
      <c r="E13" s="175">
        <v>1251</v>
      </c>
      <c r="F13" s="175">
        <v>326</v>
      </c>
      <c r="G13" s="175">
        <v>75</v>
      </c>
      <c r="H13" s="175">
        <v>42527</v>
      </c>
      <c r="I13" s="175">
        <f t="shared" si="1"/>
        <v>42449</v>
      </c>
      <c r="J13" s="175">
        <v>40858</v>
      </c>
      <c r="K13" s="175">
        <v>1263</v>
      </c>
      <c r="L13" s="175">
        <v>328</v>
      </c>
      <c r="M13" s="175">
        <v>78</v>
      </c>
      <c r="N13" s="176">
        <f t="shared" si="2"/>
        <v>44915</v>
      </c>
      <c r="O13" s="176">
        <f>SUM(H13+'5.1.3 Przeds. nowopowst.'!P13)-SUM('5.1.3 Przeds. niefinansowe'!P13+Q13+R13)</f>
        <v>43275.337818014807</v>
      </c>
      <c r="P13" s="176">
        <f>K13*'5.1.3 Podmioty REGON'!AR13</f>
        <v>1240.5931401537553</v>
      </c>
      <c r="Q13" s="176">
        <f>L13*'5.1.3 Podmioty REGON'!AS13</f>
        <v>322.88299531981278</v>
      </c>
      <c r="R13" s="176">
        <f>M13*'5.1.3 Podmioty REGON'!AT13</f>
        <v>76.186046511627907</v>
      </c>
      <c r="S13" s="176">
        <f t="shared" si="3"/>
        <v>44838.813953488374</v>
      </c>
      <c r="T13" s="46">
        <f t="shared" si="4"/>
        <v>45734.600000000006</v>
      </c>
      <c r="U13" s="46">
        <f t="shared" si="5"/>
        <v>45658.627667825494</v>
      </c>
      <c r="V13" s="46">
        <f>SUM(N13+'5.1.3 Przeds. nowopowst.'!Q13)-SUM('5.1.3 Przeds. niefinansowe'!W13+X13+Y13)</f>
        <v>44110.010133325748</v>
      </c>
      <c r="W13" s="46">
        <f>P13*'5.1.3 Podmioty REGON'!AW13</f>
        <v>1230.2921351546868</v>
      </c>
      <c r="X13" s="46">
        <f>Q13*'5.1.3 Podmioty REGON'!AX13</f>
        <v>318.32539934505269</v>
      </c>
      <c r="Y13" s="46">
        <f>R13*'5.1.3 Podmioty REGON'!AY13</f>
        <v>75.9723321745102</v>
      </c>
      <c r="Z13" s="47"/>
    </row>
    <row r="14" spans="1:26" x14ac:dyDescent="0.25">
      <c r="A14" s="144" t="s">
        <v>10</v>
      </c>
      <c r="B14" s="175">
        <v>84450</v>
      </c>
      <c r="C14" s="175">
        <f t="shared" si="0"/>
        <v>84304</v>
      </c>
      <c r="D14" s="175">
        <v>80806</v>
      </c>
      <c r="E14" s="175">
        <v>2778</v>
      </c>
      <c r="F14" s="175">
        <v>720</v>
      </c>
      <c r="G14" s="175">
        <v>146</v>
      </c>
      <c r="H14" s="175">
        <v>86677</v>
      </c>
      <c r="I14" s="175">
        <f t="shared" si="1"/>
        <v>86531</v>
      </c>
      <c r="J14" s="175">
        <v>83158</v>
      </c>
      <c r="K14" s="175">
        <v>2661</v>
      </c>
      <c r="L14" s="175">
        <v>712</v>
      </c>
      <c r="M14" s="175">
        <v>146</v>
      </c>
      <c r="N14" s="176">
        <f t="shared" si="2"/>
        <v>92305.999999999985</v>
      </c>
      <c r="O14" s="176">
        <f>SUM(H14+'5.1.3 Przeds. nowopowst.'!P14)-SUM('5.1.3 Przeds. niefinansowe'!P14+Q14+R14)</f>
        <v>88853.333869421098</v>
      </c>
      <c r="P14" s="176">
        <f>K14*'5.1.3 Podmioty REGON'!AR14</f>
        <v>2609.4179561299097</v>
      </c>
      <c r="Q14" s="176">
        <f>L14*'5.1.3 Podmioty REGON'!AS14</f>
        <v>698.83513097072421</v>
      </c>
      <c r="R14" s="176">
        <f>M14*'5.1.3 Podmioty REGON'!AT14</f>
        <v>144.41304347826087</v>
      </c>
      <c r="S14" s="176">
        <f t="shared" si="3"/>
        <v>92161.586956521729</v>
      </c>
      <c r="T14" s="46">
        <f t="shared" si="4"/>
        <v>96090.999999999971</v>
      </c>
      <c r="U14" s="46">
        <f t="shared" si="5"/>
        <v>95948.124621844108</v>
      </c>
      <c r="V14" s="46">
        <f>SUM(N14+'5.1.3 Przeds. nowopowst.'!Q14)-SUM('5.1.3 Przeds. niefinansowe'!W14+X14+Y14)</f>
        <v>92654.236678522342</v>
      </c>
      <c r="W14" s="46">
        <f>P14*'5.1.3 Podmioty REGON'!AW14</f>
        <v>2591.4995643811581</v>
      </c>
      <c r="X14" s="46">
        <f>Q14*'5.1.3 Podmioty REGON'!AX14</f>
        <v>702.38837894061589</v>
      </c>
      <c r="Y14" s="46">
        <f>R14*'5.1.3 Podmioty REGON'!AY14</f>
        <v>142.87537815586455</v>
      </c>
      <c r="Z14" s="47"/>
    </row>
    <row r="15" spans="1:26" x14ac:dyDescent="0.25">
      <c r="A15" s="144" t="s">
        <v>11</v>
      </c>
      <c r="B15" s="175">
        <v>49440</v>
      </c>
      <c r="C15" s="175">
        <f t="shared" si="0"/>
        <v>49383</v>
      </c>
      <c r="D15" s="175">
        <v>47692</v>
      </c>
      <c r="E15" s="175">
        <v>1317</v>
      </c>
      <c r="F15" s="175">
        <v>374</v>
      </c>
      <c r="G15" s="175">
        <v>57</v>
      </c>
      <c r="H15" s="175">
        <v>51676</v>
      </c>
      <c r="I15" s="175">
        <f t="shared" si="1"/>
        <v>51613</v>
      </c>
      <c r="J15" s="175">
        <v>49947</v>
      </c>
      <c r="K15" s="175">
        <v>1289</v>
      </c>
      <c r="L15" s="175">
        <v>377</v>
      </c>
      <c r="M15" s="175">
        <v>63</v>
      </c>
      <c r="N15" s="176">
        <f t="shared" si="2"/>
        <v>55372.000000000007</v>
      </c>
      <c r="O15" s="176">
        <f>SUM(H15+'5.1.3 Przeds. nowopowst.'!P15)-SUM('5.1.3 Przeds. niefinansowe'!P15+Q15+R15)</f>
        <v>53674.416690163562</v>
      </c>
      <c r="P15" s="176">
        <f>K15*'5.1.3 Podmioty REGON'!AR15</f>
        <v>1261.3964957819599</v>
      </c>
      <c r="Q15" s="176">
        <f>L15*'5.1.3 Podmioty REGON'!AS15</f>
        <v>372.44563758389262</v>
      </c>
      <c r="R15" s="176">
        <f>M15*'5.1.3 Podmioty REGON'!AT15</f>
        <v>63.741176470588229</v>
      </c>
      <c r="S15" s="176">
        <f t="shared" si="3"/>
        <v>55308.258823529417</v>
      </c>
      <c r="T15" s="46">
        <f t="shared" si="4"/>
        <v>57390.000000000007</v>
      </c>
      <c r="U15" s="46">
        <f t="shared" si="5"/>
        <v>57327.482757536869</v>
      </c>
      <c r="V15" s="46">
        <f>SUM(N15+'5.1.3 Przeds. nowopowst.'!Q15)-SUM('5.1.3 Przeds. niefinansowe'!W15+X15+Y15)</f>
        <v>55693.766742240427</v>
      </c>
      <c r="W15" s="46">
        <f>P15*'5.1.3 Podmioty REGON'!AW15</f>
        <v>1259.8158291151346</v>
      </c>
      <c r="X15" s="46">
        <f>Q15*'5.1.3 Podmioty REGON'!AX15</f>
        <v>373.90018618130716</v>
      </c>
      <c r="Y15" s="46">
        <f>R15*'5.1.3 Podmioty REGON'!AY15</f>
        <v>62.517242463140157</v>
      </c>
      <c r="Z15" s="47"/>
    </row>
    <row r="16" spans="1:26" x14ac:dyDescent="0.25">
      <c r="A16" s="144" t="s">
        <v>12</v>
      </c>
      <c r="B16" s="175">
        <v>137661</v>
      </c>
      <c r="C16" s="175">
        <f t="shared" si="0"/>
        <v>137450</v>
      </c>
      <c r="D16" s="175">
        <v>133146</v>
      </c>
      <c r="E16" s="175">
        <v>3308</v>
      </c>
      <c r="F16" s="175">
        <v>996</v>
      </c>
      <c r="G16" s="175">
        <v>211</v>
      </c>
      <c r="H16" s="175">
        <v>142492</v>
      </c>
      <c r="I16" s="175">
        <f t="shared" si="1"/>
        <v>142263</v>
      </c>
      <c r="J16" s="175">
        <v>138029</v>
      </c>
      <c r="K16" s="175">
        <v>3243</v>
      </c>
      <c r="L16" s="175">
        <v>991</v>
      </c>
      <c r="M16" s="175">
        <v>229</v>
      </c>
      <c r="N16" s="176">
        <f t="shared" si="2"/>
        <v>151449.99999999997</v>
      </c>
      <c r="O16" s="176">
        <f>SUM(H16+'5.1.3 Przeds. nowopowst.'!P16)-SUM('5.1.3 Przeds. niefinansowe'!P16+Q16+R16)</f>
        <v>147051.92828221113</v>
      </c>
      <c r="P16" s="176">
        <f>K16*'5.1.3 Podmioty REGON'!AR16</f>
        <v>3197.1084905660377</v>
      </c>
      <c r="Q16" s="176">
        <f>L16*'5.1.3 Podmioty REGON'!AS16</f>
        <v>971.96322722283207</v>
      </c>
      <c r="R16" s="176">
        <f>M16*'5.1.3 Podmioty REGON'!AT16</f>
        <v>229</v>
      </c>
      <c r="S16" s="176">
        <f t="shared" si="3"/>
        <v>151220.99999999997</v>
      </c>
      <c r="T16" s="46">
        <f t="shared" si="4"/>
        <v>157332.99999999997</v>
      </c>
      <c r="U16" s="46">
        <f t="shared" si="5"/>
        <v>157105.41267823215</v>
      </c>
      <c r="V16" s="46">
        <f>SUM(N16+'5.1.3 Przeds. nowopowst.'!Q16)-SUM('5.1.3 Przeds. niefinansowe'!W16+X16+Y16)</f>
        <v>153046.37238254413</v>
      </c>
      <c r="W16" s="46">
        <f>P16*'5.1.3 Podmioty REGON'!AW16</f>
        <v>3106.371142522325</v>
      </c>
      <c r="X16" s="46">
        <f>Q16*'5.1.3 Podmioty REGON'!AX16</f>
        <v>952.66915316572408</v>
      </c>
      <c r="Y16" s="46">
        <f>R16*'5.1.3 Podmioty REGON'!AY16</f>
        <v>227.58732176780515</v>
      </c>
      <c r="Z16" s="47"/>
    </row>
    <row r="17" spans="1:26" x14ac:dyDescent="0.25">
      <c r="A17" s="144" t="s">
        <v>13</v>
      </c>
      <c r="B17" s="175">
        <v>228272</v>
      </c>
      <c r="C17" s="175">
        <f t="shared" si="0"/>
        <v>227808</v>
      </c>
      <c r="D17" s="175">
        <v>218897</v>
      </c>
      <c r="E17" s="175">
        <v>7011</v>
      </c>
      <c r="F17" s="175">
        <v>1900</v>
      </c>
      <c r="G17" s="175">
        <v>464</v>
      </c>
      <c r="H17" s="175">
        <v>233849</v>
      </c>
      <c r="I17" s="175">
        <f t="shared" si="1"/>
        <v>233381</v>
      </c>
      <c r="J17" s="175">
        <v>224518</v>
      </c>
      <c r="K17" s="175">
        <v>6949</v>
      </c>
      <c r="L17" s="175">
        <v>1914</v>
      </c>
      <c r="M17" s="175">
        <v>468</v>
      </c>
      <c r="N17" s="176">
        <f t="shared" si="2"/>
        <v>245639.99999999997</v>
      </c>
      <c r="O17" s="176">
        <f>SUM(H17+'5.1.3 Przeds. nowopowst.'!P17)-SUM('5.1.3 Przeds. niefinansowe'!P17+Q17+R17)</f>
        <v>236447.18568836065</v>
      </c>
      <c r="P17" s="176">
        <f>K17*'5.1.3 Podmioty REGON'!AR17</f>
        <v>6824.2486104935533</v>
      </c>
      <c r="Q17" s="176">
        <f>L17*'5.1.3 Podmioty REGON'!AS17</f>
        <v>1903.1465834987241</v>
      </c>
      <c r="R17" s="176">
        <f>M17*'5.1.3 Podmioty REGON'!AT17</f>
        <v>465.41911764705884</v>
      </c>
      <c r="S17" s="176">
        <f t="shared" si="3"/>
        <v>245174.58088235292</v>
      </c>
      <c r="T17" s="46">
        <f t="shared" si="4"/>
        <v>250567.19999999998</v>
      </c>
      <c r="U17" s="46">
        <f t="shared" si="5"/>
        <v>250104.53200976443</v>
      </c>
      <c r="V17" s="46">
        <f>SUM(N17+'5.1.3 Przeds. nowopowst.'!Q17)-SUM('5.1.3 Przeds. niefinansowe'!W17+X17+Y17)</f>
        <v>241544.08810428879</v>
      </c>
      <c r="W17" s="46">
        <f>P17*'5.1.3 Podmioty REGON'!AW17</f>
        <v>6676.6957915148714</v>
      </c>
      <c r="X17" s="46">
        <f>Q17*'5.1.3 Podmioty REGON'!AX17</f>
        <v>1883.7481139607485</v>
      </c>
      <c r="Y17" s="46">
        <f>R17*'5.1.3 Podmioty REGON'!AY17</f>
        <v>462.66799023555558</v>
      </c>
      <c r="Z17" s="47"/>
    </row>
    <row r="18" spans="1:26" x14ac:dyDescent="0.25">
      <c r="A18" s="144" t="s">
        <v>14</v>
      </c>
      <c r="B18" s="175">
        <v>52822</v>
      </c>
      <c r="C18" s="175">
        <f t="shared" si="0"/>
        <v>52741</v>
      </c>
      <c r="D18" s="175">
        <v>50975</v>
      </c>
      <c r="E18" s="175">
        <v>1403</v>
      </c>
      <c r="F18" s="175">
        <v>363</v>
      </c>
      <c r="G18" s="175">
        <v>81</v>
      </c>
      <c r="H18" s="175">
        <v>53140</v>
      </c>
      <c r="I18" s="175">
        <f t="shared" si="1"/>
        <v>53057</v>
      </c>
      <c r="J18" s="175">
        <v>51344</v>
      </c>
      <c r="K18" s="175">
        <v>1348</v>
      </c>
      <c r="L18" s="175">
        <v>365</v>
      </c>
      <c r="M18" s="175">
        <v>83</v>
      </c>
      <c r="N18" s="176">
        <f t="shared" si="2"/>
        <v>55747</v>
      </c>
      <c r="O18" s="176">
        <f>SUM(H18+'5.1.3 Przeds. nowopowst.'!P18)-SUM('5.1.3 Przeds. niefinansowe'!P18+Q18+R18)</f>
        <v>53981.130499486469</v>
      </c>
      <c r="P18" s="176">
        <f>K18*'5.1.3 Podmioty REGON'!AR18</f>
        <v>1326.258064516129</v>
      </c>
      <c r="Q18" s="176">
        <f>L18*'5.1.3 Podmioty REGON'!AS18</f>
        <v>357.33950617283949</v>
      </c>
      <c r="R18" s="176">
        <f>M18*'5.1.3 Podmioty REGON'!AT18</f>
        <v>82.271929824561397</v>
      </c>
      <c r="S18" s="176">
        <f t="shared" si="3"/>
        <v>55664.728070175435</v>
      </c>
      <c r="T18" s="46">
        <f t="shared" si="4"/>
        <v>57197.2</v>
      </c>
      <c r="U18" s="46">
        <f t="shared" si="5"/>
        <v>57115.635926611641</v>
      </c>
      <c r="V18" s="46">
        <f>SUM(N18+'5.1.3 Przeds. nowopowst.'!Q18)-SUM('5.1.3 Przeds. niefinansowe'!W18+X18+Y18)</f>
        <v>55445.64910856865</v>
      </c>
      <c r="W18" s="46">
        <f>P18*'5.1.3 Podmioty REGON'!AW18</f>
        <v>1318.0501599414922</v>
      </c>
      <c r="X18" s="46">
        <f>Q18*'5.1.3 Podmioty REGON'!AX18</f>
        <v>351.93665810149929</v>
      </c>
      <c r="Y18" s="46">
        <f>R18*'5.1.3 Podmioty REGON'!AY18</f>
        <v>81.564073388357869</v>
      </c>
      <c r="Z18" s="47"/>
    </row>
    <row r="19" spans="1:26" x14ac:dyDescent="0.25">
      <c r="A19" s="144" t="s">
        <v>15</v>
      </c>
      <c r="B19" s="175">
        <v>56906</v>
      </c>
      <c r="C19" s="175">
        <f t="shared" si="0"/>
        <v>56829</v>
      </c>
      <c r="D19" s="175">
        <v>54942</v>
      </c>
      <c r="E19" s="175">
        <v>1426</v>
      </c>
      <c r="F19" s="175">
        <v>461</v>
      </c>
      <c r="G19" s="175">
        <v>77</v>
      </c>
      <c r="H19" s="175">
        <v>59268</v>
      </c>
      <c r="I19" s="175">
        <f t="shared" si="1"/>
        <v>59190</v>
      </c>
      <c r="J19" s="175">
        <v>57312</v>
      </c>
      <c r="K19" s="175">
        <v>1437</v>
      </c>
      <c r="L19" s="175">
        <v>441</v>
      </c>
      <c r="M19" s="175">
        <v>78</v>
      </c>
      <c r="N19" s="176">
        <f t="shared" si="2"/>
        <v>63357.000000000007</v>
      </c>
      <c r="O19" s="176">
        <f>SUM(H19+'5.1.3 Przeds. nowopowst.'!P19)-SUM('5.1.3 Przeds. niefinansowe'!P19+Q19+R19)</f>
        <v>61443.053703259466</v>
      </c>
      <c r="P19" s="176">
        <f>K19*'5.1.3 Podmioty REGON'!AR19</f>
        <v>1400.7255673923112</v>
      </c>
      <c r="Q19" s="176">
        <f>L19*'5.1.3 Podmioty REGON'!AS19</f>
        <v>435.93632567849687</v>
      </c>
      <c r="R19" s="176">
        <f>M19*'5.1.3 Podmioty REGON'!AT19</f>
        <v>77.284403669724782</v>
      </c>
      <c r="S19" s="176">
        <f t="shared" si="3"/>
        <v>63279.715596330279</v>
      </c>
      <c r="T19" s="46">
        <f t="shared" si="4"/>
        <v>65156.200000000004</v>
      </c>
      <c r="U19" s="46">
        <f t="shared" si="5"/>
        <v>65080.279392683689</v>
      </c>
      <c r="V19" s="46">
        <f>SUM(N19+'5.1.3 Przeds. nowopowst.'!Q19)-SUM('5.1.3 Przeds. niefinansowe'!W19+X19+Y19)</f>
        <v>63274.082746425745</v>
      </c>
      <c r="W19" s="46">
        <f>P19*'5.1.3 Podmioty REGON'!AW19</f>
        <v>1376.6508924675245</v>
      </c>
      <c r="X19" s="46">
        <f>Q19*'5.1.3 Podmioty REGON'!AX19</f>
        <v>429.54575379042217</v>
      </c>
      <c r="Y19" s="46">
        <f>R19*'5.1.3 Podmioty REGON'!AY19</f>
        <v>75.920607316312712</v>
      </c>
      <c r="Z19" s="47"/>
    </row>
    <row r="20" spans="1:26" x14ac:dyDescent="0.25">
      <c r="A20" s="144" t="s">
        <v>16</v>
      </c>
      <c r="B20" s="175">
        <v>212497</v>
      </c>
      <c r="C20" s="175">
        <f t="shared" si="0"/>
        <v>212109</v>
      </c>
      <c r="D20" s="175">
        <v>204731</v>
      </c>
      <c r="E20" s="175">
        <v>5639</v>
      </c>
      <c r="F20" s="175">
        <v>1739</v>
      </c>
      <c r="G20" s="175">
        <v>388</v>
      </c>
      <c r="H20" s="175">
        <v>219120</v>
      </c>
      <c r="I20" s="175">
        <f t="shared" si="1"/>
        <v>218726</v>
      </c>
      <c r="J20" s="175">
        <v>211377</v>
      </c>
      <c r="K20" s="175">
        <v>5657</v>
      </c>
      <c r="L20" s="175">
        <v>1692</v>
      </c>
      <c r="M20" s="175">
        <v>394</v>
      </c>
      <c r="N20" s="176">
        <f t="shared" si="2"/>
        <v>232726.00000000003</v>
      </c>
      <c r="O20" s="176">
        <f>SUM(H20+'5.1.3 Przeds. nowopowst.'!P20)-SUM('5.1.3 Przeds. niefinansowe'!P20+Q20+R20)</f>
        <v>225040.20921354095</v>
      </c>
      <c r="P20" s="176">
        <f>K20*'5.1.3 Podmioty REGON'!AR20</f>
        <v>5605.3980957453887</v>
      </c>
      <c r="Q20" s="176">
        <f>L20*'5.1.3 Podmioty REGON'!AS20</f>
        <v>1680.7907949790795</v>
      </c>
      <c r="R20" s="176">
        <f>M20*'5.1.3 Podmioty REGON'!AT20</f>
        <v>399.60189573459718</v>
      </c>
      <c r="S20" s="176">
        <f t="shared" si="3"/>
        <v>232326.39810426542</v>
      </c>
      <c r="T20" s="46">
        <f t="shared" si="4"/>
        <v>240706.80000000002</v>
      </c>
      <c r="U20" s="46">
        <f t="shared" si="5"/>
        <v>240309.43487970656</v>
      </c>
      <c r="V20" s="46">
        <f>SUM(N20+'5.1.3 Przeds. nowopowst.'!Q20)-SUM('5.1.3 Przeds. niefinansowe'!W20+X20+Y20)</f>
        <v>233135.00036557156</v>
      </c>
      <c r="W20" s="46">
        <f>P20*'5.1.3 Podmioty REGON'!AW20</f>
        <v>5520.8451731927071</v>
      </c>
      <c r="X20" s="46">
        <f>Q20*'5.1.3 Podmioty REGON'!AX20</f>
        <v>1653.5893409423088</v>
      </c>
      <c r="Y20" s="46">
        <f>R20*'5.1.3 Podmioty REGON'!AY20</f>
        <v>397.36512029344618</v>
      </c>
      <c r="Z20" s="47"/>
    </row>
    <row r="21" spans="1:26" x14ac:dyDescent="0.25">
      <c r="A21" s="146" t="s">
        <v>17</v>
      </c>
      <c r="B21" s="177">
        <v>100190</v>
      </c>
      <c r="C21" s="177">
        <f t="shared" si="0"/>
        <v>100107</v>
      </c>
      <c r="D21" s="177">
        <v>97419</v>
      </c>
      <c r="E21" s="177">
        <v>2088</v>
      </c>
      <c r="F21" s="177">
        <v>600</v>
      </c>
      <c r="G21" s="177">
        <v>83</v>
      </c>
      <c r="H21" s="177">
        <v>102072</v>
      </c>
      <c r="I21" s="177">
        <f t="shared" si="1"/>
        <v>101980</v>
      </c>
      <c r="J21" s="177">
        <v>99398</v>
      </c>
      <c r="K21" s="177">
        <v>1994</v>
      </c>
      <c r="L21" s="177">
        <v>588</v>
      </c>
      <c r="M21" s="177">
        <v>92</v>
      </c>
      <c r="N21" s="178">
        <f t="shared" si="2"/>
        <v>108204.99999999999</v>
      </c>
      <c r="O21" s="178">
        <f>SUM(H21+'5.1.3 Przeds. nowopowst.'!P21)-SUM('5.1.3 Przeds. niefinansowe'!P21+Q21+R21)</f>
        <v>105570.98186630094</v>
      </c>
      <c r="P21" s="178">
        <f>K21*'5.1.3 Podmioty REGON'!AR21</f>
        <v>1966.5686210284966</v>
      </c>
      <c r="Q21" s="178">
        <f>L21*'5.1.3 Podmioty REGON'!AS21</f>
        <v>578.17543859649118</v>
      </c>
      <c r="R21" s="178">
        <f>M21*'5.1.3 Podmioty REGON'!AT21</f>
        <v>89.274074074074065</v>
      </c>
      <c r="S21" s="178">
        <f t="shared" si="3"/>
        <v>108115.72592592592</v>
      </c>
      <c r="T21" s="49">
        <f t="shared" si="4"/>
        <v>110603.99999999999</v>
      </c>
      <c r="U21" s="49">
        <f t="shared" si="5"/>
        <v>110515.8723831884</v>
      </c>
      <c r="V21" s="49">
        <f>SUM(N21+'5.1.3 Przeds. nowopowst.'!Q21)-SUM('5.1.3 Przeds. niefinansowe'!W21+X21+Y21)</f>
        <v>108026.34772530376</v>
      </c>
      <c r="W21" s="49">
        <f>P21*'5.1.3 Podmioty REGON'!AW21</f>
        <v>1922.1930952158987</v>
      </c>
      <c r="X21" s="49">
        <f>Q21*'5.1.3 Podmioty REGON'!AX21</f>
        <v>567.33156266873743</v>
      </c>
      <c r="Y21" s="49">
        <f>R21*'5.1.3 Podmioty REGON'!AY21</f>
        <v>88.127616811585995</v>
      </c>
      <c r="Z21" s="47"/>
    </row>
    <row r="22" spans="1:26" x14ac:dyDescent="0.25">
      <c r="A22" s="179"/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1"/>
      <c r="O22" s="181"/>
      <c r="P22" s="181"/>
      <c r="Q22" s="181"/>
      <c r="R22" s="181"/>
      <c r="S22" s="181"/>
      <c r="T22" s="14"/>
      <c r="U22" s="14"/>
      <c r="V22" s="14"/>
      <c r="W22" s="14"/>
      <c r="X22" s="14"/>
      <c r="Y22" s="14"/>
      <c r="Z22" s="47"/>
    </row>
    <row r="23" spans="1:26" x14ac:dyDescent="0.25">
      <c r="A23" s="54" t="s">
        <v>383</v>
      </c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3"/>
      <c r="O23" s="183"/>
      <c r="P23" s="183"/>
      <c r="Q23" s="183"/>
      <c r="R23" s="183"/>
      <c r="S23" s="183"/>
      <c r="T23" s="184"/>
      <c r="U23" s="184"/>
      <c r="V23" s="184"/>
      <c r="W23" s="184"/>
      <c r="X23" s="184"/>
      <c r="Y23" s="185"/>
      <c r="Z23" s="47"/>
    </row>
    <row r="24" spans="1:26" x14ac:dyDescent="0.25">
      <c r="A24" s="179"/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1"/>
      <c r="O24" s="181"/>
      <c r="P24" s="181"/>
      <c r="Q24" s="181"/>
      <c r="R24" s="181"/>
      <c r="S24" s="181"/>
      <c r="T24" s="14"/>
      <c r="U24" s="14"/>
      <c r="V24" s="14"/>
      <c r="W24" s="14"/>
      <c r="X24" s="14"/>
      <c r="Y24" s="14"/>
      <c r="Z24" s="47"/>
    </row>
    <row r="25" spans="1:26" x14ac:dyDescent="0.25">
      <c r="A25" s="54" t="s">
        <v>384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3"/>
      <c r="O25" s="183"/>
      <c r="P25" s="183"/>
      <c r="Q25" s="183"/>
      <c r="R25" s="183"/>
      <c r="S25" s="183"/>
      <c r="T25" s="184"/>
      <c r="U25" s="184"/>
      <c r="V25" s="184"/>
      <c r="W25" s="184"/>
      <c r="X25" s="184"/>
      <c r="Y25" s="185"/>
      <c r="Z25" s="47"/>
    </row>
    <row r="26" spans="1:26" x14ac:dyDescent="0.25">
      <c r="A26" s="186"/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1"/>
      <c r="O26" s="181"/>
      <c r="P26" s="181"/>
      <c r="Q26" s="181"/>
      <c r="R26" s="181"/>
      <c r="S26" s="181"/>
      <c r="T26" s="14"/>
      <c r="U26" s="14"/>
      <c r="V26" s="14"/>
      <c r="W26" s="14"/>
      <c r="X26" s="14"/>
      <c r="Y26" s="14"/>
      <c r="Z26" s="47"/>
    </row>
    <row r="27" spans="1:26" x14ac:dyDescent="0.25">
      <c r="A27" s="54" t="s">
        <v>385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3"/>
      <c r="O27" s="183"/>
      <c r="P27" s="183"/>
      <c r="Q27" s="183"/>
      <c r="R27" s="183"/>
      <c r="S27" s="183"/>
      <c r="T27" s="184"/>
      <c r="U27" s="184"/>
      <c r="V27" s="184"/>
      <c r="W27" s="184"/>
      <c r="X27" s="184"/>
      <c r="Y27" s="185"/>
      <c r="Z27" s="47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5.1.1 PKB</vt:lpstr>
      <vt:lpstr>5.1.1 Nakłady B+R</vt:lpstr>
      <vt:lpstr>5.1.1 Nakłady_razem</vt:lpstr>
      <vt:lpstr>5.1.1 Nakłady lata</vt:lpstr>
      <vt:lpstr>5.1.2 Fin. zew_woj</vt:lpstr>
      <vt:lpstr>5.1.2 Fin. ze. lata</vt:lpstr>
      <vt:lpstr>5.1.3 Podmioty REGON</vt:lpstr>
      <vt:lpstr>5.1.3 Przeds. nowopowst.</vt:lpstr>
      <vt:lpstr>5.1.3 Przeds. niefinansowe</vt:lpstr>
      <vt:lpstr>5.1.3 Plany inwestycyjne</vt:lpstr>
      <vt:lpstr>5.1.3 SL IF Pożyczki</vt:lpstr>
      <vt:lpstr>5.1.3 Luka_woj</vt:lpstr>
      <vt:lpstr>5.1.3 Luka_lata</vt:lpstr>
      <vt:lpstr>5.1.4 Luka kapitał</vt:lpstr>
      <vt:lpstr>5.1.4 Luka_kapitał_lata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Tomasz Sokół</cp:lastModifiedBy>
  <dcterms:created xsi:type="dcterms:W3CDTF">2019-12-28T17:42:53Z</dcterms:created>
  <dcterms:modified xsi:type="dcterms:W3CDTF">2020-03-30T21:55:24Z</dcterms:modified>
</cp:coreProperties>
</file>