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tables/table48.xml" ContentType="application/vnd.openxmlformats-officedocument.spreadsheetml.table+xml"/>
  <Override PartName="/xl/tables/table49.xml" ContentType="application/vnd.openxmlformats-officedocument.spreadsheetml.table+xml"/>
  <Override PartName="/xl/tables/table50.xml" ContentType="application/vnd.openxmlformats-officedocument.spreadsheetml.table+xml"/>
  <Override PartName="/xl/tables/table51.xml" ContentType="application/vnd.openxmlformats-officedocument.spreadsheetml.table+xml"/>
  <Override PartName="/xl/tables/table52.xml" ContentType="application/vnd.openxmlformats-officedocument.spreadsheetml.table+xml"/>
  <Override PartName="/xl/tables/table53.xml" ContentType="application/vnd.openxmlformats-officedocument.spreadsheetml.table+xml"/>
  <Override PartName="/xl/tables/table54.xml" ContentType="application/vnd.openxmlformats-officedocument.spreadsheetml.table+xml"/>
  <Override PartName="/xl/tables/table55.xml" ContentType="application/vnd.openxmlformats-officedocument.spreadsheetml.table+xml"/>
  <Override PartName="/xl/tables/table56.xml" ContentType="application/vnd.openxmlformats-officedocument.spreadsheetml.table+xml"/>
  <Override PartName="/xl/tables/table57.xml" ContentType="application/vnd.openxmlformats-officedocument.spreadsheetml.table+xml"/>
  <Override PartName="/xl/tables/table58.xml" ContentType="application/vnd.openxmlformats-officedocument.spreadsheetml.table+xml"/>
  <Override PartName="/xl/tables/table59.xml" ContentType="application/vnd.openxmlformats-officedocument.spreadsheetml.table+xml"/>
  <Override PartName="/xl/tables/table60.xml" ContentType="application/vnd.openxmlformats-officedocument.spreadsheetml.table+xml"/>
  <Override PartName="/xl/tables/table61.xml" ContentType="application/vnd.openxmlformats-officedocument.spreadsheetml.table+xml"/>
  <Override PartName="/xl/tables/table62.xml" ContentType="application/vnd.openxmlformats-officedocument.spreadsheetml.table+xml"/>
  <Override PartName="/xl/tables/table63.xml" ContentType="application/vnd.openxmlformats-officedocument.spreadsheetml.table+xml"/>
  <Override PartName="/xl/tables/table64.xml" ContentType="application/vnd.openxmlformats-officedocument.spreadsheetml.table+xml"/>
  <Override PartName="/xl/tables/table65.xml" ContentType="application/vnd.openxmlformats-officedocument.spreadsheetml.table+xml"/>
  <Override PartName="/xl/tables/table66.xml" ContentType="application/vnd.openxmlformats-officedocument.spreadsheetml.table+xml"/>
  <Override PartName="/xl/tables/table67.xml" ContentType="application/vnd.openxmlformats-officedocument.spreadsheetml.table+xml"/>
  <Override PartName="/xl/tables/table68.xml" ContentType="application/vnd.openxmlformats-officedocument.spreadsheetml.table+xml"/>
  <Override PartName="/xl/tables/table69.xml" ContentType="application/vnd.openxmlformats-officedocument.spreadsheetml.table+xml"/>
  <Override PartName="/xl/tables/table70.xml" ContentType="application/vnd.openxmlformats-officedocument.spreadsheetml.table+xml"/>
  <Override PartName="/xl/tables/table71.xml" ContentType="application/vnd.openxmlformats-officedocument.spreadsheetml.table+xml"/>
  <Override PartName="/xl/tables/table72.xml" ContentType="application/vnd.openxmlformats-officedocument.spreadsheetml.table+xml"/>
  <Override PartName="/xl/tables/table73.xml" ContentType="application/vnd.openxmlformats-officedocument.spreadsheetml.table+xml"/>
  <Override PartName="/xl/tables/table74.xml" ContentType="application/vnd.openxmlformats-officedocument.spreadsheetml.table+xml"/>
  <Override PartName="/xl/tables/table75.xml" ContentType="application/vnd.openxmlformats-officedocument.spreadsheetml.table+xml"/>
  <Override PartName="/xl/tables/table76.xml" ContentType="application/vnd.openxmlformats-officedocument.spreadsheetml.table+xml"/>
  <Override PartName="/xl/tables/table77.xml" ContentType="application/vnd.openxmlformats-officedocument.spreadsheetml.table+xml"/>
  <Override PartName="/xl/tables/table78.xml" ContentType="application/vnd.openxmlformats-officedocument.spreadsheetml.table+xml"/>
  <Override PartName="/xl/tables/table79.xml" ContentType="application/vnd.openxmlformats-officedocument.spreadsheetml.table+xml"/>
  <Override PartName="/xl/tables/table80.xml" ContentType="application/vnd.openxmlformats-officedocument.spreadsheetml.table+xml"/>
  <Override PartName="/xl/tables/table81.xml" ContentType="application/vnd.openxmlformats-officedocument.spreadsheetml.table+xml"/>
  <Override PartName="/xl/tables/table82.xml" ContentType="application/vnd.openxmlformats-officedocument.spreadsheetml.table+xml"/>
  <Override PartName="/xl/tables/table83.xml" ContentType="application/vnd.openxmlformats-officedocument.spreadsheetml.table+xml"/>
  <Override PartName="/xl/tables/table84.xml" ContentType="application/vnd.openxmlformats-officedocument.spreadsheetml.table+xml"/>
  <Override PartName="/xl/tables/table85.xml" ContentType="application/vnd.openxmlformats-officedocument.spreadsheetml.table+xml"/>
  <Override PartName="/xl/tables/table86.xml" ContentType="application/vnd.openxmlformats-officedocument.spreadsheetml.table+xml"/>
  <Override PartName="/xl/tables/table87.xml" ContentType="application/vnd.openxmlformats-officedocument.spreadsheetml.table+xml"/>
  <Override PartName="/xl/tables/table88.xml" ContentType="application/vnd.openxmlformats-officedocument.spreadsheetml.table+xml"/>
  <Override PartName="/xl/tables/table89.xml" ContentType="application/vnd.openxmlformats-officedocument.spreadsheetml.table+xml"/>
  <Override PartName="/xl/tables/table90.xml" ContentType="application/vnd.openxmlformats-officedocument.spreadsheetml.table+xml"/>
  <Override PartName="/xl/tables/table91.xml" ContentType="application/vnd.openxmlformats-officedocument.spreadsheetml.table+xml"/>
  <Override PartName="/xl/tables/table92.xml" ContentType="application/vnd.openxmlformats-officedocument.spreadsheetml.table+xml"/>
  <Override PartName="/xl/tables/table93.xml" ContentType="application/vnd.openxmlformats-officedocument.spreadsheetml.table+xml"/>
  <Override PartName="/xl/tables/table94.xml" ContentType="application/vnd.openxmlformats-officedocument.spreadsheetml.table+xml"/>
  <Override PartName="/xl/tables/table95.xml" ContentType="application/vnd.openxmlformats-officedocument.spreadsheetml.table+xml"/>
  <Override PartName="/xl/tables/table96.xml" ContentType="application/vnd.openxmlformats-officedocument.spreadsheetml.table+xml"/>
  <Override PartName="/xl/tables/table9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624"/>
  <workbookPr defaultThemeVersion="166925"/>
  <mc:AlternateContent xmlns:mc="http://schemas.openxmlformats.org/markup-compatibility/2006">
    <mc:Choice Requires="x15">
      <x15ac:absPath xmlns:x15ac="http://schemas.microsoft.com/office/spreadsheetml/2010/11/ac" url="C:\Users\przemyslaw.gorgol\Dropbox\MIR_Luka_4_Obszar_Transport\4_Raport_szacowanie_luki\"/>
    </mc:Choice>
  </mc:AlternateContent>
  <xr:revisionPtr revIDLastSave="0" documentId="8_{B315E10B-4A7F-43B8-AD27-72782DDBA7C3}" xr6:coauthVersionLast="45" xr6:coauthVersionMax="45" xr10:uidLastSave="{00000000-0000-0000-0000-000000000000}"/>
  <bookViews>
    <workbookView xWindow="-110" yWindow="-110" windowWidth="19420" windowHeight="10420" tabRatio="881" activeTab="3" xr2:uid="{74969DB0-6E4F-40DB-AD13-77F735887A92}"/>
  </bookViews>
  <sheets>
    <sheet name="Autostrady!" sheetId="1" r:id="rId1"/>
    <sheet name="Drogi krajowe" sheetId="3" r:id="rId2"/>
    <sheet name="Drogi wojewódzkie" sheetId="4" r:id="rId3"/>
    <sheet name="Drogi gminne i powiatowe" sheetId="5" r:id="rId4"/>
    <sheet name="ITS" sheetId="6" r:id="rId5"/>
    <sheet name="Linie kolejowe" sheetId="7" r:id="rId6"/>
    <sheet name="Intermodal" sheetId="8" r:id="rId7"/>
    <sheet name="Tabor pasażerski" sheetId="9" r:id="rId8"/>
    <sheet name="Tabor Cargo" sheetId="10" r:id="rId9"/>
    <sheet name="Lotniska" sheetId="11" r:id="rId10"/>
    <sheet name="Porty morskie" sheetId="12" r:id="rId11"/>
    <sheet name="Żegluga śródlądowa" sheetId="13" r:id="rId12"/>
    <sheet name="Transport publiczny" sheetId="14" r:id="rId13"/>
    <sheet name="Podsumowanie" sheetId="2" r:id="rId14"/>
  </sheets>
  <externalReferences>
    <externalReference r:id="rId15"/>
  </externalReferences>
  <definedNames>
    <definedName name="_Disclaimer1_">"Steer has prepared this work for "</definedName>
    <definedName name="_Disclaimer2_">". This work may only be used within the context and scope of work for which Steer was commissioned and may not be relied upon in part or whole by any third party or be used for any other purpose. "</definedName>
    <definedName name="_Disclaimer3_">"Any person choosing to use any part of this work without the express and written permission of Steer shall be deemed to confirm their agreement to indemnify Steer for all loss or damage resulting therefrom. "</definedName>
    <definedName name="_Disclaimer4_">"Steer has prepared this work using professional practices and procedures using information available to it at the time and as such any new information could alter the validity of the results and conclusions made"</definedName>
    <definedName name="_Disclaimer5_">"""."""</definedName>
    <definedName name="_SheetCount_">[1]Info!$E$221</definedName>
    <definedName name="FileName">[1]Info!$D$11</definedName>
    <definedName name="HTML1_1" hidden="1">"'[internet 98q4.xls]xcontact'!$A$1:$F$114"</definedName>
    <definedName name="HTML1_10" hidden="1">""</definedName>
    <definedName name="HTML1_11" hidden="1">1</definedName>
    <definedName name="HTML1_12" hidden="1">"D:\data\xl\MyHTML.htm"</definedName>
    <definedName name="HTML1_13" hidden="1">#N/A</definedName>
    <definedName name="HTML1_14" hidden="1">#N/A</definedName>
    <definedName name="HTML1_15" hidden="1">#N/A</definedName>
    <definedName name="HTML1_2" hidden="1">1</definedName>
    <definedName name="HTML1_3" hidden="1">"internet 98q4.xls"</definedName>
    <definedName name="HTML1_4" hidden="1">"xcontact"</definedName>
    <definedName name="HTML1_5" hidden="1">""</definedName>
    <definedName name="HTML1_6" hidden="1">-4146</definedName>
    <definedName name="HTML1_7" hidden="1">-4146</definedName>
    <definedName name="HTML1_8" hidden="1">"15/10/1998"</definedName>
    <definedName name="HTML1_9" hidden="1">"GEORGIADES"</definedName>
    <definedName name="HTML2_1" hidden="1">"'[internet 98q4.xls]xcontact'!$A$2:$F$114"</definedName>
    <definedName name="HTML2_10" hidden="1">""</definedName>
    <definedName name="HTML2_11" hidden="1">1</definedName>
    <definedName name="HTML2_12" hidden="1">"D:\data\xl\MyHTML.htm"</definedName>
    <definedName name="HTML2_13" hidden="1">#N/A</definedName>
    <definedName name="HTML2_14" hidden="1">#N/A</definedName>
    <definedName name="HTML2_15" hidden="1">#N/A</definedName>
    <definedName name="HTML2_2" hidden="1">1</definedName>
    <definedName name="HTML2_3" hidden="1">"internet 98q4.xls"</definedName>
    <definedName name="HTML2_4" hidden="1">"xcontact"</definedName>
    <definedName name="HTML2_5" hidden="1">""</definedName>
    <definedName name="HTML2_6" hidden="1">-4146</definedName>
    <definedName name="HTML2_7" hidden="1">-4146</definedName>
    <definedName name="HTML2_8" hidden="1">"15/10/1998"</definedName>
    <definedName name="HTML2_9" hidden="1">"GEORGIADES"</definedName>
    <definedName name="HTML3_1" hidden="1">"'[internet 98q4.xls]xlist3'!$A$3:$E$175"</definedName>
    <definedName name="HTML3_10" hidden="1">""</definedName>
    <definedName name="HTML3_11" hidden="1">-4146</definedName>
    <definedName name="HTML3_12" hidden="1">"D:\data\aaa html\national2.htm"</definedName>
    <definedName name="HTML3_13" hidden="1">#N/A</definedName>
    <definedName name="HTML3_14" hidden="1">#N/A</definedName>
    <definedName name="HTML3_15" hidden="1">#N/A</definedName>
    <definedName name="HTML3_2" hidden="1">1</definedName>
    <definedName name="HTML3_3" hidden="1">"internet 98q4.xls"</definedName>
    <definedName name="HTML3_4" hidden="1">"xlist3"</definedName>
    <definedName name="HTML3_5" hidden="1">""</definedName>
    <definedName name="HTML3_6" hidden="1">-4146</definedName>
    <definedName name="HTML3_7" hidden="1">-4146</definedName>
    <definedName name="HTML3_8" hidden="1">"15/10/1998"</definedName>
    <definedName name="HTML3_9" hidden="1">"GEORGIADES"</definedName>
    <definedName name="HTML4_1" hidden="1">"'[internet 98q4.xls]x1.2'!$B$5:$C$25"</definedName>
    <definedName name="HTML4_10" hidden="1">""</definedName>
    <definedName name="HTML4_11" hidden="1">1</definedName>
    <definedName name="HTML4_12" hidden="1">"D:\data\aaa html\test1.htm"</definedName>
    <definedName name="HTML4_13" hidden="1">#N/A</definedName>
    <definedName name="HTML4_14" hidden="1">#N/A</definedName>
    <definedName name="HTML4_15" hidden="1">#N/A</definedName>
    <definedName name="HTML4_2" hidden="1">1</definedName>
    <definedName name="HTML4_3" hidden="1">""</definedName>
    <definedName name="HTML4_4" hidden="1">""</definedName>
    <definedName name="HTML4_5" hidden="1">""</definedName>
    <definedName name="HTML4_6" hidden="1">-4146</definedName>
    <definedName name="HTML4_7" hidden="1">-4146</definedName>
    <definedName name="HTML4_8" hidden="1">""</definedName>
    <definedName name="HTML4_9" hidden="1">""</definedName>
    <definedName name="HTMLCount" hidden="1">4</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5" i="2" l="1"/>
  <c r="F5" i="2"/>
  <c r="E16" i="2" l="1"/>
  <c r="D294" i="14"/>
  <c r="D292" i="14"/>
  <c r="D293" i="14" s="1"/>
  <c r="C292" i="14"/>
  <c r="C282" i="14"/>
  <c r="E272" i="14" s="1"/>
  <c r="E271" i="14"/>
  <c r="C289" i="14"/>
  <c r="E292" i="14" l="1"/>
  <c r="C281" i="14"/>
  <c r="C284" i="14" s="1"/>
  <c r="C276" i="14"/>
  <c r="C270" i="14"/>
  <c r="E269" i="14"/>
  <c r="E270" i="14" s="1"/>
  <c r="C277" i="14" s="1"/>
  <c r="D269" i="14"/>
  <c r="D270" i="14" s="1"/>
  <c r="F293" i="14" l="1"/>
  <c r="C285" i="14"/>
  <c r="C278" i="14"/>
  <c r="C293" i="14" s="1"/>
  <c r="E293" i="14" s="1"/>
  <c r="C262" i="14"/>
  <c r="C302" i="14"/>
  <c r="F201" i="14"/>
  <c r="E201" i="14"/>
  <c r="C201" i="14"/>
  <c r="E180" i="14" l="1"/>
  <c r="F180" i="14"/>
  <c r="D137" i="14"/>
  <c r="C136" i="14"/>
  <c r="C138" i="14" s="1"/>
  <c r="C132" i="14"/>
  <c r="E123" i="14"/>
  <c r="E122" i="14"/>
  <c r="E124" i="14" s="1"/>
  <c r="E121" i="14"/>
  <c r="E120" i="14"/>
  <c r="H180" i="14" l="1"/>
  <c r="I180" i="14" s="1"/>
  <c r="C294" i="14"/>
  <c r="E294" i="14" s="1"/>
  <c r="E116" i="14"/>
  <c r="C145" i="14" s="1"/>
  <c r="E99" i="14"/>
  <c r="C163" i="14" s="1"/>
  <c r="G78" i="14"/>
  <c r="G79" i="14" s="1"/>
  <c r="C139" i="14" s="1"/>
  <c r="D47" i="14"/>
  <c r="D48" i="14"/>
  <c r="D49" i="14"/>
  <c r="D50" i="14"/>
  <c r="D51" i="14"/>
  <c r="D52" i="14"/>
  <c r="D53" i="14"/>
  <c r="D54" i="14"/>
  <c r="D55" i="14"/>
  <c r="D56" i="14"/>
  <c r="D57" i="14"/>
  <c r="D58" i="14"/>
  <c r="D59" i="14"/>
  <c r="D60" i="14"/>
  <c r="D61" i="14"/>
  <c r="D62" i="14"/>
  <c r="D46" i="14"/>
  <c r="C47" i="14"/>
  <c r="C48" i="14"/>
  <c r="C49" i="14"/>
  <c r="C50" i="14"/>
  <c r="C51" i="14"/>
  <c r="C52" i="14"/>
  <c r="C53" i="14"/>
  <c r="C54" i="14"/>
  <c r="C55" i="14"/>
  <c r="C56" i="14"/>
  <c r="C57" i="14"/>
  <c r="C58" i="14"/>
  <c r="C59" i="14"/>
  <c r="C60" i="14"/>
  <c r="C61" i="14"/>
  <c r="C62" i="14"/>
  <c r="C46" i="14"/>
  <c r="B61" i="14"/>
  <c r="B60" i="14"/>
  <c r="B59" i="14"/>
  <c r="B58" i="14"/>
  <c r="B57" i="14"/>
  <c r="B56" i="14"/>
  <c r="B55" i="14"/>
  <c r="B54" i="14"/>
  <c r="B53" i="14"/>
  <c r="B52" i="14"/>
  <c r="B51" i="14"/>
  <c r="B50" i="14"/>
  <c r="B49" i="14"/>
  <c r="B48" i="14"/>
  <c r="B47" i="14"/>
  <c r="B46" i="14"/>
  <c r="E15" i="2"/>
  <c r="D14" i="13"/>
  <c r="C14" i="13"/>
  <c r="D14" i="2" s="1"/>
  <c r="C7" i="13"/>
  <c r="E13" i="2"/>
  <c r="E14" i="2"/>
  <c r="B25" i="12"/>
  <c r="C22" i="12"/>
  <c r="B22" i="12"/>
  <c r="B21" i="12"/>
  <c r="C20" i="12"/>
  <c r="B20" i="12"/>
  <c r="C19" i="12"/>
  <c r="B19" i="12"/>
  <c r="C16" i="12"/>
  <c r="B16" i="12"/>
  <c r="C15" i="12"/>
  <c r="B15" i="12"/>
  <c r="C14" i="12"/>
  <c r="B14" i="12"/>
  <c r="C9" i="12"/>
  <c r="C21" i="12" s="1"/>
  <c r="C4" i="12"/>
  <c r="C25" i="12" s="1"/>
  <c r="C26" i="12" s="1"/>
  <c r="C15" i="11"/>
  <c r="F12" i="2" s="1"/>
  <c r="C12" i="11"/>
  <c r="M4" i="10"/>
  <c r="M5" i="10"/>
  <c r="M7" i="10"/>
  <c r="M10" i="10"/>
  <c r="M3" i="10"/>
  <c r="K4" i="10"/>
  <c r="K5" i="10"/>
  <c r="K6" i="10"/>
  <c r="M6" i="10" s="1"/>
  <c r="K7" i="10"/>
  <c r="K8" i="10"/>
  <c r="M8" i="10" s="1"/>
  <c r="K9" i="10"/>
  <c r="M9" i="10" s="1"/>
  <c r="K10" i="10"/>
  <c r="K11" i="10"/>
  <c r="M11" i="10" s="1"/>
  <c r="K3" i="10"/>
  <c r="H4" i="10"/>
  <c r="J4" i="10" s="1"/>
  <c r="H5" i="10"/>
  <c r="J5" i="10" s="1"/>
  <c r="H6" i="10"/>
  <c r="J6" i="10" s="1"/>
  <c r="H7" i="10"/>
  <c r="J7" i="10" s="1"/>
  <c r="H8" i="10"/>
  <c r="J8" i="10" s="1"/>
  <c r="H9" i="10"/>
  <c r="J9" i="10" s="1"/>
  <c r="H10" i="10"/>
  <c r="J10" i="10" s="1"/>
  <c r="H11" i="10"/>
  <c r="J11" i="10" s="1"/>
  <c r="H3" i="10"/>
  <c r="J3" i="10" s="1"/>
  <c r="G13" i="9"/>
  <c r="G41" i="9" s="1"/>
  <c r="F34" i="9"/>
  <c r="G34" i="9" s="1"/>
  <c r="G33" i="9"/>
  <c r="F32" i="9"/>
  <c r="G32" i="9" s="1"/>
  <c r="G31" i="9"/>
  <c r="G30" i="9"/>
  <c r="G26" i="9"/>
  <c r="G25" i="9"/>
  <c r="G24" i="9"/>
  <c r="G23" i="9"/>
  <c r="G22" i="9"/>
  <c r="C18" i="9"/>
  <c r="G18" i="9" s="1"/>
  <c r="G17" i="9"/>
  <c r="F16" i="9"/>
  <c r="G16" i="9" s="1"/>
  <c r="F12" i="9"/>
  <c r="G11" i="9"/>
  <c r="G10" i="9"/>
  <c r="G6" i="9"/>
  <c r="G5" i="9"/>
  <c r="G3" i="9"/>
  <c r="D81" i="8"/>
  <c r="D74" i="8"/>
  <c r="D72" i="8"/>
  <c r="D73" i="8" s="1"/>
  <c r="D45" i="8"/>
  <c r="C64" i="8"/>
  <c r="E11" i="2"/>
  <c r="E12" i="2"/>
  <c r="E8" i="2"/>
  <c r="C96" i="7"/>
  <c r="C95" i="7"/>
  <c r="E83" i="7"/>
  <c r="E82" i="7"/>
  <c r="E84" i="7" s="1"/>
  <c r="C89" i="7" s="1"/>
  <c r="E81" i="7"/>
  <c r="D80" i="7"/>
  <c r="D74" i="7"/>
  <c r="C63" i="7"/>
  <c r="C69" i="7" s="1"/>
  <c r="C70" i="7" s="1"/>
  <c r="C67" i="7"/>
  <c r="D32" i="7"/>
  <c r="D31" i="7"/>
  <c r="F28" i="7"/>
  <c r="E28" i="7"/>
  <c r="D28" i="7"/>
  <c r="D22" i="7"/>
  <c r="D21" i="7"/>
  <c r="D20" i="7"/>
  <c r="C7" i="6"/>
  <c r="C8" i="6" s="1"/>
  <c r="D13" i="6" s="1"/>
  <c r="E3" i="6"/>
  <c r="D12" i="6" s="1"/>
  <c r="E6" i="2"/>
  <c r="D91" i="5"/>
  <c r="D95" i="5" s="1"/>
  <c r="C91" i="5"/>
  <c r="E84" i="5"/>
  <c r="D96" i="5" s="1"/>
  <c r="C106" i="5" s="1"/>
  <c r="D84" i="5"/>
  <c r="C84" i="5"/>
  <c r="F83" i="5"/>
  <c r="F82" i="5"/>
  <c r="F81" i="5"/>
  <c r="F80" i="5"/>
  <c r="D71" i="5"/>
  <c r="C71" i="5"/>
  <c r="D70" i="5"/>
  <c r="C70" i="5"/>
  <c r="D67" i="5"/>
  <c r="D72" i="5" s="1"/>
  <c r="D76" i="5" s="1"/>
  <c r="E76" i="5" s="1"/>
  <c r="C67" i="5"/>
  <c r="C72" i="5" s="1"/>
  <c r="C76" i="5" s="1"/>
  <c r="G65" i="4"/>
  <c r="G73" i="4"/>
  <c r="F62" i="4"/>
  <c r="F70" i="4"/>
  <c r="E62" i="4"/>
  <c r="G62" i="4" s="1"/>
  <c r="E63" i="4"/>
  <c r="E64" i="4"/>
  <c r="G64" i="4" s="1"/>
  <c r="E65" i="4"/>
  <c r="F65" i="4" s="1"/>
  <c r="E66" i="4"/>
  <c r="G66" i="4" s="1"/>
  <c r="E67" i="4"/>
  <c r="G67" i="4" s="1"/>
  <c r="E68" i="4"/>
  <c r="F68" i="4" s="1"/>
  <c r="E69" i="4"/>
  <c r="E70" i="4"/>
  <c r="G70" i="4" s="1"/>
  <c r="E71" i="4"/>
  <c r="E72" i="4"/>
  <c r="G72" i="4" s="1"/>
  <c r="E73" i="4"/>
  <c r="F73" i="4" s="1"/>
  <c r="E74" i="4"/>
  <c r="G74" i="4" s="1"/>
  <c r="E75" i="4"/>
  <c r="G75" i="4" s="1"/>
  <c r="E76" i="4"/>
  <c r="G76" i="4" s="1"/>
  <c r="E77" i="4"/>
  <c r="D62" i="4"/>
  <c r="D63" i="4"/>
  <c r="D64" i="4"/>
  <c r="D65" i="4"/>
  <c r="D66" i="4"/>
  <c r="D67" i="4"/>
  <c r="D68" i="4"/>
  <c r="D69" i="4"/>
  <c r="D70" i="4"/>
  <c r="D71" i="4"/>
  <c r="D72" i="4"/>
  <c r="D73" i="4"/>
  <c r="D74" i="4"/>
  <c r="D75" i="4"/>
  <c r="D76" i="4"/>
  <c r="D77" i="4"/>
  <c r="D58" i="4"/>
  <c r="C61" i="4"/>
  <c r="D61" i="4" s="1"/>
  <c r="E8" i="4"/>
  <c r="F8" i="4" s="1"/>
  <c r="E15" i="4"/>
  <c r="F15" i="4" s="1"/>
  <c r="F32" i="4"/>
  <c r="E12" i="4" s="1"/>
  <c r="F12" i="4" s="1"/>
  <c r="E32" i="4"/>
  <c r="D32" i="4"/>
  <c r="E7" i="2"/>
  <c r="E9" i="2"/>
  <c r="E10" i="2"/>
  <c r="H158" i="3"/>
  <c r="G162" i="3"/>
  <c r="G167" i="3"/>
  <c r="G170" i="3"/>
  <c r="F170" i="3"/>
  <c r="G158" i="3"/>
  <c r="G160" i="3" s="1"/>
  <c r="F158" i="3"/>
  <c r="F160" i="3" s="1"/>
  <c r="E160" i="3"/>
  <c r="E161" i="3"/>
  <c r="E162" i="3"/>
  <c r="E163" i="3"/>
  <c r="E164" i="3"/>
  <c r="E165" i="3"/>
  <c r="E166" i="3"/>
  <c r="E167" i="3"/>
  <c r="E168" i="3"/>
  <c r="E169" i="3"/>
  <c r="E170" i="3"/>
  <c r="E171" i="3"/>
  <c r="E172" i="3"/>
  <c r="E173" i="3"/>
  <c r="E174" i="3"/>
  <c r="E159" i="3"/>
  <c r="D148" i="3"/>
  <c r="D149" i="3" s="1"/>
  <c r="D153" i="3" s="1"/>
  <c r="D4" i="2" s="1"/>
  <c r="J133" i="3"/>
  <c r="J137" i="3" s="1"/>
  <c r="F137" i="3"/>
  <c r="G137" i="3"/>
  <c r="H137" i="3"/>
  <c r="I137" i="3"/>
  <c r="F138" i="3"/>
  <c r="G138" i="3"/>
  <c r="H138" i="3"/>
  <c r="I138" i="3"/>
  <c r="E138" i="3"/>
  <c r="E137" i="3"/>
  <c r="K135" i="3"/>
  <c r="L135" i="3"/>
  <c r="M135" i="3"/>
  <c r="N135" i="3"/>
  <c r="J135" i="3"/>
  <c r="K136" i="3"/>
  <c r="L136" i="3"/>
  <c r="M136" i="3"/>
  <c r="N136" i="3"/>
  <c r="J136" i="3"/>
  <c r="K134" i="3"/>
  <c r="L134" i="3"/>
  <c r="M134" i="3"/>
  <c r="N134" i="3"/>
  <c r="J134" i="3"/>
  <c r="K133" i="3"/>
  <c r="L133" i="3"/>
  <c r="M133" i="3"/>
  <c r="N133" i="3"/>
  <c r="D126" i="3"/>
  <c r="D129" i="3" s="1"/>
  <c r="O11" i="3"/>
  <c r="O12" i="3" s="1"/>
  <c r="N11" i="3"/>
  <c r="N12" i="3" s="1"/>
  <c r="M11" i="3"/>
  <c r="L11" i="3"/>
  <c r="L12" i="3" s="1"/>
  <c r="K11" i="3"/>
  <c r="K12" i="3" s="1"/>
  <c r="J11" i="3"/>
  <c r="J12" i="3" s="1"/>
  <c r="I11" i="3"/>
  <c r="I12" i="3" s="1"/>
  <c r="H11" i="3"/>
  <c r="H12" i="3" s="1"/>
  <c r="G11" i="3"/>
  <c r="G12" i="3" s="1"/>
  <c r="P10" i="3"/>
  <c r="P5" i="3"/>
  <c r="O5" i="3"/>
  <c r="N5" i="3"/>
  <c r="M5" i="3"/>
  <c r="L5" i="3"/>
  <c r="K5" i="3"/>
  <c r="J5" i="3"/>
  <c r="I5" i="3"/>
  <c r="H5" i="3"/>
  <c r="G5" i="3"/>
  <c r="Q4" i="3"/>
  <c r="Q3" i="3"/>
  <c r="Q2" i="3"/>
  <c r="D92" i="3"/>
  <c r="D61" i="3"/>
  <c r="D30" i="3"/>
  <c r="D124" i="1"/>
  <c r="D162" i="1"/>
  <c r="N12" i="1"/>
  <c r="M12" i="1"/>
  <c r="K12" i="1"/>
  <c r="I12" i="1"/>
  <c r="P10" i="1"/>
  <c r="Q10" i="1" s="1"/>
  <c r="H11" i="1"/>
  <c r="H12" i="1" s="1"/>
  <c r="I11" i="1"/>
  <c r="J11" i="1"/>
  <c r="J12" i="1" s="1"/>
  <c r="K11" i="1"/>
  <c r="L11" i="1"/>
  <c r="L12" i="1" s="1"/>
  <c r="M11" i="1"/>
  <c r="N11" i="1"/>
  <c r="O11" i="1"/>
  <c r="O12" i="1" s="1"/>
  <c r="G11" i="1"/>
  <c r="G12" i="1" s="1"/>
  <c r="D153" i="1"/>
  <c r="D150" i="1"/>
  <c r="D145" i="1"/>
  <c r="D142" i="1"/>
  <c r="D131" i="1"/>
  <c r="D132" i="1" s="1"/>
  <c r="D133" i="1" s="1"/>
  <c r="D122" i="1"/>
  <c r="D120" i="1"/>
  <c r="D121" i="1"/>
  <c r="D117" i="1"/>
  <c r="D111" i="1"/>
  <c r="D123" i="1" s="1"/>
  <c r="Q3" i="1"/>
  <c r="P5" i="1"/>
  <c r="O5" i="1"/>
  <c r="N5" i="1"/>
  <c r="M5" i="1"/>
  <c r="L5" i="1"/>
  <c r="K5" i="1"/>
  <c r="J5" i="1"/>
  <c r="I5" i="1"/>
  <c r="H5" i="1"/>
  <c r="G5" i="1"/>
  <c r="Q2" i="1"/>
  <c r="Q4" i="1"/>
  <c r="D92" i="1"/>
  <c r="D114" i="1" s="1"/>
  <c r="D61" i="1"/>
  <c r="D30" i="1"/>
  <c r="F167" i="3" l="1"/>
  <c r="G164" i="3"/>
  <c r="F166" i="3"/>
  <c r="F164" i="3"/>
  <c r="F173" i="3"/>
  <c r="F162" i="3"/>
  <c r="F174" i="3"/>
  <c r="F172" i="3"/>
  <c r="G159" i="3"/>
  <c r="F168" i="3"/>
  <c r="F159" i="3"/>
  <c r="F171" i="3"/>
  <c r="G172" i="3"/>
  <c r="E295" i="14"/>
  <c r="C301" i="14" s="1"/>
  <c r="C303" i="14" s="1"/>
  <c r="E59" i="14"/>
  <c r="E51" i="14"/>
  <c r="M12" i="10"/>
  <c r="N138" i="3"/>
  <c r="F63" i="4"/>
  <c r="G68" i="4"/>
  <c r="G174" i="3"/>
  <c r="G166" i="3"/>
  <c r="D12" i="2"/>
  <c r="F76" i="4"/>
  <c r="F71" i="4"/>
  <c r="F165" i="3"/>
  <c r="G173" i="3"/>
  <c r="G165" i="3"/>
  <c r="E16" i="4"/>
  <c r="F16" i="4" s="1"/>
  <c r="F77" i="4"/>
  <c r="F69" i="4"/>
  <c r="F29" i="7"/>
  <c r="E46" i="14"/>
  <c r="E63" i="14" s="1"/>
  <c r="C298" i="14" s="1"/>
  <c r="E55" i="14"/>
  <c r="E47" i="14"/>
  <c r="F163" i="3"/>
  <c r="G171" i="3"/>
  <c r="G163" i="3"/>
  <c r="E14" i="4"/>
  <c r="F14" i="4" s="1"/>
  <c r="F75" i="4"/>
  <c r="F67" i="4"/>
  <c r="D92" i="5"/>
  <c r="C100" i="5" s="1"/>
  <c r="D100" i="5" s="1"/>
  <c r="C107" i="5" s="1"/>
  <c r="D106" i="5" s="1"/>
  <c r="F74" i="4"/>
  <c r="F66" i="4"/>
  <c r="G71" i="4"/>
  <c r="G63" i="4"/>
  <c r="C10" i="12"/>
  <c r="C23" i="12"/>
  <c r="F14" i="2"/>
  <c r="F169" i="3"/>
  <c r="F161" i="3"/>
  <c r="G169" i="3"/>
  <c r="G161" i="3"/>
  <c r="E7" i="4"/>
  <c r="F7" i="4" s="1"/>
  <c r="C32" i="7"/>
  <c r="G168" i="3"/>
  <c r="E6" i="4"/>
  <c r="F6" i="4" s="1"/>
  <c r="F72" i="4"/>
  <c r="F64" i="4"/>
  <c r="G77" i="4"/>
  <c r="G69" i="4"/>
  <c r="C33" i="7"/>
  <c r="C88" i="7" s="1"/>
  <c r="C17" i="12"/>
  <c r="C174" i="14"/>
  <c r="C170" i="14" s="1"/>
  <c r="C161" i="14"/>
  <c r="C146" i="14"/>
  <c r="C147" i="14" s="1"/>
  <c r="C140" i="14"/>
  <c r="C141" i="14" s="1"/>
  <c r="C299" i="14" s="1"/>
  <c r="E60" i="14"/>
  <c r="E52" i="14"/>
  <c r="E56" i="14"/>
  <c r="E48" i="14"/>
  <c r="E57" i="14"/>
  <c r="E49" i="14"/>
  <c r="E62" i="14"/>
  <c r="E54" i="14"/>
  <c r="E61" i="14"/>
  <c r="E53" i="14"/>
  <c r="E58" i="14"/>
  <c r="E50" i="14"/>
  <c r="J12" i="10"/>
  <c r="G19" i="9"/>
  <c r="G27" i="9"/>
  <c r="G44" i="9" s="1"/>
  <c r="G7" i="9"/>
  <c r="G40" i="9" s="1"/>
  <c r="G35" i="9"/>
  <c r="G45" i="9" s="1"/>
  <c r="D75" i="8"/>
  <c r="D75" i="7"/>
  <c r="D76" i="7" s="1"/>
  <c r="D14" i="6"/>
  <c r="D15" i="6" s="1"/>
  <c r="D111" i="5"/>
  <c r="C75" i="5"/>
  <c r="D75" i="5"/>
  <c r="F84" i="5"/>
  <c r="E61" i="4"/>
  <c r="F61" i="4" s="1"/>
  <c r="E19" i="4"/>
  <c r="F19" i="4" s="1"/>
  <c r="E11" i="4"/>
  <c r="F11" i="4" s="1"/>
  <c r="E18" i="4"/>
  <c r="F18" i="4" s="1"/>
  <c r="E10" i="4"/>
  <c r="F10" i="4" s="1"/>
  <c r="E17" i="4"/>
  <c r="F17" i="4" s="1"/>
  <c r="E9" i="4"/>
  <c r="F9" i="4" s="1"/>
  <c r="E5" i="4"/>
  <c r="F5" i="4" s="1"/>
  <c r="E13" i="4"/>
  <c r="F13" i="4" s="1"/>
  <c r="E4" i="4"/>
  <c r="F4" i="4" s="1"/>
  <c r="E158" i="3"/>
  <c r="L138" i="3"/>
  <c r="M138" i="3"/>
  <c r="M137" i="3"/>
  <c r="K138" i="3"/>
  <c r="N137" i="3"/>
  <c r="D136" i="3"/>
  <c r="L137" i="3"/>
  <c r="K137" i="3"/>
  <c r="D134" i="3"/>
  <c r="J138" i="3"/>
  <c r="D133" i="3"/>
  <c r="D135" i="3"/>
  <c r="Q5" i="3"/>
  <c r="Q10" i="3"/>
  <c r="P11" i="3"/>
  <c r="P12" i="3" s="1"/>
  <c r="M12" i="3"/>
  <c r="Q12" i="3" s="1"/>
  <c r="Q6" i="3"/>
  <c r="Q7" i="3" s="1"/>
  <c r="D155" i="1"/>
  <c r="P11" i="1"/>
  <c r="Q11" i="1" s="1"/>
  <c r="D143" i="1"/>
  <c r="D146" i="1" s="1"/>
  <c r="D156" i="1" s="1"/>
  <c r="Q6" i="1"/>
  <c r="Q7" i="1" s="1"/>
  <c r="Q5" i="1"/>
  <c r="D15" i="2" l="1"/>
  <c r="F15" i="2"/>
  <c r="C160" i="14"/>
  <c r="E75" i="5"/>
  <c r="C105" i="5" s="1"/>
  <c r="C108" i="5" s="1"/>
  <c r="C111" i="5" s="1"/>
  <c r="E111" i="5" s="1"/>
  <c r="D138" i="3"/>
  <c r="D137" i="3"/>
  <c r="F11" i="2"/>
  <c r="D11" i="2"/>
  <c r="P12" i="1"/>
  <c r="Q12" i="1" s="1"/>
  <c r="H161" i="3"/>
  <c r="H169" i="3"/>
  <c r="H162" i="3"/>
  <c r="H170" i="3"/>
  <c r="H165" i="3"/>
  <c r="H163" i="3"/>
  <c r="H171" i="3"/>
  <c r="H164" i="3"/>
  <c r="H172" i="3"/>
  <c r="H166" i="3"/>
  <c r="H174" i="3"/>
  <c r="H160" i="3"/>
  <c r="H173" i="3"/>
  <c r="H167" i="3"/>
  <c r="H159" i="3"/>
  <c r="H168" i="3"/>
  <c r="E26" i="6"/>
  <c r="E34" i="6"/>
  <c r="E27" i="6"/>
  <c r="E35" i="6"/>
  <c r="E22" i="6"/>
  <c r="F7" i="2"/>
  <c r="E28" i="6"/>
  <c r="E36" i="6"/>
  <c r="D7" i="2"/>
  <c r="E29" i="6"/>
  <c r="E21" i="6"/>
  <c r="E23" i="6"/>
  <c r="E31" i="6"/>
  <c r="E33" i="6"/>
  <c r="E24" i="6"/>
  <c r="E32" i="6"/>
  <c r="E25" i="6"/>
  <c r="E30" i="6"/>
  <c r="C34" i="7"/>
  <c r="C87" i="7"/>
  <c r="C91" i="7" s="1"/>
  <c r="D95" i="7" s="1"/>
  <c r="G43" i="9"/>
  <c r="G42" i="9"/>
  <c r="G46" i="9" s="1"/>
  <c r="G61" i="4"/>
  <c r="D10" i="12"/>
  <c r="F13" i="2" s="1"/>
  <c r="D13" i="2"/>
  <c r="D167" i="14"/>
  <c r="C148" i="14"/>
  <c r="D171" i="14"/>
  <c r="D77" i="8"/>
  <c r="D76" i="8"/>
  <c r="E3" i="4"/>
  <c r="D39" i="4" s="1"/>
  <c r="F3" i="4"/>
  <c r="Q11" i="3"/>
  <c r="Q13" i="3"/>
  <c r="Q14" i="3" s="1"/>
  <c r="D152" i="3" s="1"/>
  <c r="D159" i="1"/>
  <c r="F6" i="2" l="1"/>
  <c r="E126" i="5"/>
  <c r="E134" i="5"/>
  <c r="D6" i="2"/>
  <c r="E127" i="5"/>
  <c r="E119" i="5"/>
  <c r="E120" i="5"/>
  <c r="E128" i="5"/>
  <c r="E122" i="5"/>
  <c r="E121" i="5"/>
  <c r="E129" i="5"/>
  <c r="E130" i="5"/>
  <c r="E123" i="5"/>
  <c r="E131" i="5"/>
  <c r="E133" i="5"/>
  <c r="E124" i="5"/>
  <c r="E132" i="5"/>
  <c r="E125" i="5"/>
  <c r="Q13" i="1"/>
  <c r="D160" i="1" s="1"/>
  <c r="E3" i="2" s="1"/>
  <c r="D105" i="5"/>
  <c r="D9" i="2"/>
  <c r="F9" i="2"/>
  <c r="D161" i="1"/>
  <c r="D3" i="2"/>
  <c r="D8" i="2"/>
  <c r="D96" i="7"/>
  <c r="F8" i="2" s="1"/>
  <c r="F10" i="2"/>
  <c r="D10" i="2"/>
  <c r="D154" i="3"/>
  <c r="F4" i="2" s="1"/>
  <c r="E4" i="2"/>
  <c r="C149" i="14"/>
  <c r="D162" i="14"/>
  <c r="F3" i="2" l="1"/>
  <c r="F16" i="2" s="1"/>
  <c r="E5" i="2"/>
  <c r="Q14" i="1"/>
  <c r="D16" i="2"/>
  <c r="C150" i="14"/>
  <c r="D172" i="14"/>
  <c r="C151" i="14" l="1"/>
  <c r="D165" i="14"/>
  <c r="C152" i="14" l="1"/>
  <c r="D166" i="14"/>
  <c r="C153" i="14" l="1"/>
  <c r="D176" i="14"/>
  <c r="C154" i="14" l="1"/>
  <c r="D169" i="14"/>
  <c r="D175" i="14" l="1"/>
  <c r="D160" i="14" s="1"/>
  <c r="C300" i="14" s="1"/>
  <c r="C155" i="14"/>
</calcChain>
</file>

<file path=xl/sharedStrings.xml><?xml version="1.0" encoding="utf-8"?>
<sst xmlns="http://schemas.openxmlformats.org/spreadsheetml/2006/main" count="1918" uniqueCount="807">
  <si>
    <t>UE - liczba km autostrad w krajach UE w 2017</t>
  </si>
  <si>
    <t>jednostka</t>
  </si>
  <si>
    <t>wartość</t>
  </si>
  <si>
    <t>Belgium</t>
  </si>
  <si>
    <t>km</t>
  </si>
  <si>
    <t>Bulgaria</t>
  </si>
  <si>
    <t>Czechia</t>
  </si>
  <si>
    <t>Denmark</t>
  </si>
  <si>
    <t>Germany</t>
  </si>
  <si>
    <t>Estonia</t>
  </si>
  <si>
    <t>Ireland</t>
  </si>
  <si>
    <t>Greece</t>
  </si>
  <si>
    <t>Spain</t>
  </si>
  <si>
    <t>France</t>
  </si>
  <si>
    <t>Croatia</t>
  </si>
  <si>
    <t>Italy</t>
  </si>
  <si>
    <t>Cyprus</t>
  </si>
  <si>
    <t>Latvia</t>
  </si>
  <si>
    <t>Lithuania</t>
  </si>
  <si>
    <t>Luxembourg</t>
  </si>
  <si>
    <t>Hungary</t>
  </si>
  <si>
    <t>Malta</t>
  </si>
  <si>
    <t>Netherlands</t>
  </si>
  <si>
    <t>Austria</t>
  </si>
  <si>
    <t>Poland</t>
  </si>
  <si>
    <t>Portugal</t>
  </si>
  <si>
    <t>Romania</t>
  </si>
  <si>
    <t>Slovenia</t>
  </si>
  <si>
    <t>Slovakia</t>
  </si>
  <si>
    <t>Finland</t>
  </si>
  <si>
    <t>Sweden</t>
  </si>
  <si>
    <t>United Kingdom</t>
  </si>
  <si>
    <t>średnia</t>
  </si>
  <si>
    <t>Liczba ludności UE w 2017</t>
  </si>
  <si>
    <t>osoby</t>
  </si>
  <si>
    <t>suma</t>
  </si>
  <si>
    <t>UE - powierzchnia krajów w 2017</t>
  </si>
  <si>
    <t>km2</t>
  </si>
  <si>
    <t xml:space="preserve">wartość </t>
  </si>
  <si>
    <r>
      <t>km</t>
    </r>
    <r>
      <rPr>
        <vertAlign val="superscript"/>
        <sz val="11"/>
        <color theme="1"/>
        <rFont val="Calibri"/>
        <family val="2"/>
        <charset val="238"/>
        <scheme val="minor"/>
      </rPr>
      <t>2</t>
    </r>
  </si>
  <si>
    <t>Kolumna1</t>
  </si>
  <si>
    <t>Kolumna2</t>
  </si>
  <si>
    <t>2014</t>
  </si>
  <si>
    <t>2015</t>
  </si>
  <si>
    <t>2016</t>
  </si>
  <si>
    <t>2017</t>
  </si>
  <si>
    <t>2018</t>
  </si>
  <si>
    <t>2019</t>
  </si>
  <si>
    <t>2020</t>
  </si>
  <si>
    <t>2021</t>
  </si>
  <si>
    <t>2022</t>
  </si>
  <si>
    <t>2023</t>
  </si>
  <si>
    <t>razem</t>
  </si>
  <si>
    <t>Dolnośląskie</t>
  </si>
  <si>
    <t>Kujawsko-Pomorskie</t>
  </si>
  <si>
    <t>Lubelskie</t>
  </si>
  <si>
    <t>Lubuskie</t>
  </si>
  <si>
    <t>Łódzkie</t>
  </si>
  <si>
    <t>Małopolskie</t>
  </si>
  <si>
    <t>Mazowieckie</t>
  </si>
  <si>
    <t>Opolskie</t>
  </si>
  <si>
    <t>Podkarpackie</t>
  </si>
  <si>
    <t>Podlaskie</t>
  </si>
  <si>
    <t>Pomorskie</t>
  </si>
  <si>
    <t>Śląskie</t>
  </si>
  <si>
    <t>Świętokrzyskie</t>
  </si>
  <si>
    <t>Warmińsko-Mazurskie</t>
  </si>
  <si>
    <t>Wielkopolskie</t>
  </si>
  <si>
    <t>Zachodniopomorskie</t>
  </si>
  <si>
    <t>POLSKA</t>
  </si>
  <si>
    <t>PL - liczba km dróg ekspresowych w 2017</t>
  </si>
  <si>
    <t>jendostka</t>
  </si>
  <si>
    <t>UE - średnia liczba km autostrad</t>
  </si>
  <si>
    <t>PL - docelowa sieć autostrad</t>
  </si>
  <si>
    <t>[km]</t>
  </si>
  <si>
    <t>PL - wskaźnik gęstości docelowej sieci autostrad</t>
  </si>
  <si>
    <t>PL - docelowa sieć dróg ekspresowych</t>
  </si>
  <si>
    <t>PL - wskaźnik gęstości docelowej sieci dróg ekspresowych</t>
  </si>
  <si>
    <t>PL - liczba km autostrad 2017</t>
  </si>
  <si>
    <t>PL - liczba km autostrad 2019</t>
  </si>
  <si>
    <t>PL - liczba km dróg ekspresowych 2017</t>
  </si>
  <si>
    <t>PL - liczba km dróg ekspresowych 2019</t>
  </si>
  <si>
    <t>Kolumna3</t>
  </si>
  <si>
    <t>Wskaźnik</t>
  </si>
  <si>
    <t>km/1000 km2</t>
  </si>
  <si>
    <t>PL - sieć dróg ekspresowych 2019</t>
  </si>
  <si>
    <t>PL - sieć autostrad 2019</t>
  </si>
  <si>
    <t>Suma kosztów całkowitych budowy autostrad (SL)</t>
  </si>
  <si>
    <t>[zł]</t>
  </si>
  <si>
    <t>Budowa autostrady A1, odc. Pyrzowice - Częstochowa</t>
  </si>
  <si>
    <t>Budowa autostrady A2, odc. Warszawa (w. Lubelska) - Mińsk Mazowiecki</t>
  </si>
  <si>
    <t>Całkowita wielkość wskaźnika - liczba km wybudowanych autostrad (SL)</t>
  </si>
  <si>
    <t>Koszt jednostkowy  budowy autostrady</t>
  </si>
  <si>
    <t>zł</t>
  </si>
  <si>
    <t>zł/1 km</t>
  </si>
  <si>
    <t>mln zł/1 km</t>
  </si>
  <si>
    <t>Skorygowany o 50% koszt budowy autostrady</t>
  </si>
  <si>
    <t>SL-Długość wybudowanych dróg ekspresowych poza siecią TEN-T [km]</t>
  </si>
  <si>
    <t>SL-Długość wybudowanych autostrad i dróg ekspresowych w sieci TEN-T [km]</t>
  </si>
  <si>
    <t>SL-Długość wybudowanych dróg ekspresowych poza siecią TEN-T</t>
  </si>
  <si>
    <t>SL-Długość wybudowanych autostrad i dróg ekspresowych w sieci TEN-T</t>
  </si>
  <si>
    <t>[szt.]</t>
  </si>
  <si>
    <t>SL - Koszty budowy dróg ekspresowych</t>
  </si>
  <si>
    <t>Koszt jednostkowy  budowy drogi ekspresowej</t>
  </si>
  <si>
    <t>Długość wybudowanych dróg ekspresowych poza siecią TEN-T [km]</t>
  </si>
  <si>
    <t>Długość wybudowanych autostrad i dróg ekspresowych w sieci TEN-T [km]</t>
  </si>
  <si>
    <t>szt</t>
  </si>
  <si>
    <t>mln zł/km</t>
  </si>
  <si>
    <t>Korekta o odcinki autostrad w budowe i planach (nie uwzględnione w SL)</t>
  </si>
  <si>
    <t>Pozostaje do wybudowania - autostrady</t>
  </si>
  <si>
    <t>Korekta o odcinki planowanych dróg ekspresowych (nie uwzgędnione w SL)</t>
  </si>
  <si>
    <t>Pozostaje do wybudowania - drogi ekspresowe</t>
  </si>
  <si>
    <t>Szacunkowe nakłady inwestycyjne - autostrady</t>
  </si>
  <si>
    <t>Szacunkowe nakłady inwestycyjne - drogi ekspresowe</t>
  </si>
  <si>
    <t>mln zł</t>
  </si>
  <si>
    <t>Szacunkowy limit dostępnych środków finansowych</t>
  </si>
  <si>
    <t>Niezaspokojone potrzeby finansowe</t>
  </si>
  <si>
    <t>Potrzeby inwestycyjne autostrady i drogi ekspresowe</t>
  </si>
  <si>
    <t>wydatki na autostrady i drogi ekspresowe</t>
  </si>
  <si>
    <t>wydatki na utrzymanie</t>
  </si>
  <si>
    <t>Sektor</t>
  </si>
  <si>
    <t>jednosta</t>
  </si>
  <si>
    <t>Autostrady i drogi ekspresowe</t>
  </si>
  <si>
    <t>Zidentyfikowane potrzeby finansowe</t>
  </si>
  <si>
    <t>Niezabezpieczone potrzeby finansowe</t>
  </si>
  <si>
    <t>Zidentyfikowany limit środków</t>
  </si>
  <si>
    <t>UE - długość dróg krajowych  w 2017</t>
  </si>
  <si>
    <t>:</t>
  </si>
  <si>
    <t>UE - stosunek ilości dróg krajowych do powierzchni</t>
  </si>
  <si>
    <r>
      <t>km/1000 km</t>
    </r>
    <r>
      <rPr>
        <vertAlign val="superscript"/>
        <sz val="11"/>
        <color theme="1"/>
        <rFont val="Calibri"/>
        <family val="2"/>
        <charset val="238"/>
        <scheme val="minor"/>
      </rPr>
      <t>2</t>
    </r>
  </si>
  <si>
    <t>Remonty dróg krajowych</t>
  </si>
  <si>
    <t>Przebudowy/rozbudowy dróg krajowych</t>
  </si>
  <si>
    <t>Razem remonty i przebudowy</t>
  </si>
  <si>
    <t>Razem</t>
  </si>
  <si>
    <t>rodzaj prac</t>
  </si>
  <si>
    <t>Stan nawierzchni wymagający napraw</t>
  </si>
  <si>
    <t>Nawierzchnia w stanie złym</t>
  </si>
  <si>
    <t>Potrzeby inwestycyjne</t>
  </si>
  <si>
    <t>JEDNOSTKA</t>
  </si>
  <si>
    <t>% sieci</t>
  </si>
  <si>
    <t>mln PLN</t>
  </si>
  <si>
    <t>w zakresie wzmocnienia dróg krajowych</t>
  </si>
  <si>
    <t>w zakresie  budowy obwodnic</t>
  </si>
  <si>
    <t>w zakresie remontów dróg krajowych</t>
  </si>
  <si>
    <t>Szacunek dostępnych środków na drogi krajowe</t>
  </si>
  <si>
    <t>wydatki na drogi krajowe</t>
  </si>
  <si>
    <t>Niezabezpieczone potrzeby inwestycyjne</t>
  </si>
  <si>
    <t>DOLNOŚLĄSKIE</t>
  </si>
  <si>
    <t>KUJAWSKO-POMORSKIE</t>
  </si>
  <si>
    <t>LUBELSKIE</t>
  </si>
  <si>
    <t>LUBUSKIE</t>
  </si>
  <si>
    <t>ŁÓDZKIE</t>
  </si>
  <si>
    <t>MAŁOPOLSKIE</t>
  </si>
  <si>
    <t>MAZOWIECKIE</t>
  </si>
  <si>
    <t>OPOLSKIE</t>
  </si>
  <si>
    <t>PODKARPACKIE</t>
  </si>
  <si>
    <t>PODLASKIE</t>
  </si>
  <si>
    <t>POMORSKIE</t>
  </si>
  <si>
    <t>ŚLĄSKIE</t>
  </si>
  <si>
    <t>ŚWIĘTOKRZYSKIE</t>
  </si>
  <si>
    <t>WARMIŃSKO-MAZURSKIE</t>
  </si>
  <si>
    <t>WIELKOPOLSKIE</t>
  </si>
  <si>
    <t>ZACHODNIOPOMORSKIE</t>
  </si>
  <si>
    <t>udział % dróg o statusie złym</t>
  </si>
  <si>
    <t>km dróg o statusie złym</t>
  </si>
  <si>
    <t>Drogi krajowe</t>
  </si>
  <si>
    <t>Drogi wojewódzkie w 2018</t>
  </si>
  <si>
    <t>Stan nawierzchni</t>
  </si>
  <si>
    <t>Podlaskie - bardzo zły</t>
  </si>
  <si>
    <t>Podlaskie - zły</t>
  </si>
  <si>
    <t>Małopolskie - stan niezadowalający</t>
  </si>
  <si>
    <t>Łódzkie - zły</t>
  </si>
  <si>
    <t>Łódzkie - niezadowalający</t>
  </si>
  <si>
    <t>Mazowieckie - zły</t>
  </si>
  <si>
    <t>Mazowieckie - niezadowalający</t>
  </si>
  <si>
    <t xml:space="preserve"> srednia</t>
  </si>
  <si>
    <t>%</t>
  </si>
  <si>
    <t>19% sieci ze stanem złym</t>
  </si>
  <si>
    <t>ilość projektów</t>
  </si>
  <si>
    <t xml:space="preserve">Skumulowana wartość wskaźnika </t>
  </si>
  <si>
    <t>Długość przebudowanych dróg wojewódzkich [km]</t>
  </si>
  <si>
    <t>Skumulowana wartość projektów w zł</t>
  </si>
  <si>
    <t>Wskaźnik SL2014</t>
  </si>
  <si>
    <t>wskaźnik kosztu na 1 km drogi wojewódzkiej</t>
  </si>
  <si>
    <t>Potrzeby finansowe</t>
  </si>
  <si>
    <t xml:space="preserve">potrzeby finansowe </t>
  </si>
  <si>
    <t>Wielkośc wydatków na utrzymanie dróg wg OECD</t>
  </si>
  <si>
    <t>Kraj</t>
  </si>
  <si>
    <t>Belgia</t>
  </si>
  <si>
    <t>Chorwacja</t>
  </si>
  <si>
    <t>Republika Czeska</t>
  </si>
  <si>
    <t>Finlandia</t>
  </si>
  <si>
    <t>Francja</t>
  </si>
  <si>
    <t>Węgry</t>
  </si>
  <si>
    <t>Łotwa</t>
  </si>
  <si>
    <t>Litwa</t>
  </si>
  <si>
    <t>Polska</t>
  </si>
  <si>
    <t>Republika Słowacji</t>
  </si>
  <si>
    <t>Słowenia</t>
  </si>
  <si>
    <t>Szwecja</t>
  </si>
  <si>
    <t>Wielka Brytania</t>
  </si>
  <si>
    <t>średnia z lat 2016 i 2017</t>
  </si>
  <si>
    <t>Łączne wydatki na drogi wojewódzkie w zł w 2018</t>
  </si>
  <si>
    <t>wydatki na utrzymanie wg OECD - 13,9% w 2017</t>
  </si>
  <si>
    <t>wydatki na utrzymanie wg średniej OECD 2016/2017 - 32%</t>
  </si>
  <si>
    <t>niezabezpieczone wydatki na utrzymanie</t>
  </si>
  <si>
    <t>Budżet na inwestycje uwzględniający środki na utrzymanie na poziomie 32%</t>
  </si>
  <si>
    <t>Nazwa</t>
  </si>
  <si>
    <t>Drogi ogółem w kraju</t>
  </si>
  <si>
    <t>drogi gminne i powiatowe gruntowe</t>
  </si>
  <si>
    <t>drogi gminne i powiatowe twarde</t>
  </si>
  <si>
    <t>drogi gminne i powiatowe gruntowe2</t>
  </si>
  <si>
    <t>drogi gminne i powiatowe gruntowe3</t>
  </si>
  <si>
    <t>drogi gminne i powiatowe gruntowe4</t>
  </si>
  <si>
    <t>Kolumna5</t>
  </si>
  <si>
    <t>Nazwa6</t>
  </si>
  <si>
    <t>drogi gminne i powiatowe twarde7</t>
  </si>
  <si>
    <t>drogi gminne i powiatowe twarde8</t>
  </si>
  <si>
    <t>drogi gminne i powiatowe twarde9</t>
  </si>
  <si>
    <t>Drogi gminne</t>
  </si>
  <si>
    <t>Drogi powiatowe</t>
  </si>
  <si>
    <t>Drogi w złym stanie</t>
  </si>
  <si>
    <t>Drogi w stanie zadowalającym i dobrym</t>
  </si>
  <si>
    <t>jakośc drogi</t>
  </si>
  <si>
    <t>stan dróg gminnych</t>
  </si>
  <si>
    <t>stan dróg powiatowych</t>
  </si>
  <si>
    <t>Drogi w stanie niezadowalającym</t>
  </si>
  <si>
    <t>Drogi w stanie złym i niezadowalającym</t>
  </si>
  <si>
    <t>Drogi lokalne dotychczas poprawione 2008-2017</t>
  </si>
  <si>
    <t>Drogi lokalne realizowane ze środków UE 2014-2020</t>
  </si>
  <si>
    <t>Drogi lokalne w SL2014</t>
  </si>
  <si>
    <t>ilośc projektów</t>
  </si>
  <si>
    <t>wartość projektów</t>
  </si>
  <si>
    <t>wartość wskaźnika [km]</t>
  </si>
  <si>
    <t>średnia kosztu za 1 km drogi</t>
  </si>
  <si>
    <t>Długość wybudowanych dróg powiatowych [km]</t>
  </si>
  <si>
    <t>Długość przebudowanych dróg powiatowych [km]</t>
  </si>
  <si>
    <t>Długość wybudowanych dróg gminnych [km]</t>
  </si>
  <si>
    <t>Długość przebudowanych dróg gminnych [km]</t>
  </si>
  <si>
    <t>drogi poprawione i realizowane</t>
  </si>
  <si>
    <t>NPPDL 2008-2011</t>
  </si>
  <si>
    <t>NPPDL 2012-2015</t>
  </si>
  <si>
    <t>Program rozwoju gminnej i powiatowej infrastruktury drogowej  2016-2019</t>
  </si>
  <si>
    <t>razem (mln)</t>
  </si>
  <si>
    <t>wykonano km</t>
  </si>
  <si>
    <t>wydano (mln PLN)</t>
  </si>
  <si>
    <t>programy wsparcia</t>
  </si>
  <si>
    <t>średni koszt inwestycji za 1 km</t>
  </si>
  <si>
    <t>mln pln</t>
  </si>
  <si>
    <t>Budżet FDS</t>
  </si>
  <si>
    <t>Drogi w stanie złym</t>
  </si>
  <si>
    <t>Drogi dotychczas poprawione</t>
  </si>
  <si>
    <t>Drogi możliwe do realizacji w ramach FDS</t>
  </si>
  <si>
    <t>Pozostaje do realizacji</t>
  </si>
  <si>
    <t>koszt prac na 1 km drogi</t>
  </si>
  <si>
    <t>Kalkulacja</t>
  </si>
  <si>
    <t>Drogi gminne i powiatowe</t>
  </si>
  <si>
    <t>udział %  dróg lokalnych województwa w ogóle dróg lokalnych</t>
  </si>
  <si>
    <t xml:space="preserve">udział kwotowy województwa </t>
  </si>
  <si>
    <t>ITS</t>
  </si>
  <si>
    <t>PLN</t>
  </si>
  <si>
    <t>pln/1 km</t>
  </si>
  <si>
    <t xml:space="preserve">Budżet </t>
  </si>
  <si>
    <t>KSZR</t>
  </si>
  <si>
    <t>Docelowa sieć objeta KSZR</t>
  </si>
  <si>
    <t>Etap I - w realizacji</t>
  </si>
  <si>
    <t>kalkulacje</t>
  </si>
  <si>
    <t xml:space="preserve">koszt jednostkowy </t>
  </si>
  <si>
    <t>kalkulacja</t>
  </si>
  <si>
    <t>wartość za 1 km</t>
  </si>
  <si>
    <t>pozostaje do realizacji</t>
  </si>
  <si>
    <t>szacunek potrzeb finansowych</t>
  </si>
  <si>
    <t>udział w całości sieci dróg krajowych</t>
  </si>
  <si>
    <t>szacowana alokacja w realizacji KSZR</t>
  </si>
  <si>
    <t>Zarządca</t>
  </si>
  <si>
    <t>Długość linii będących w zarządzie (w km)</t>
  </si>
  <si>
    <t>Długość linii będących w zarządzie (w km) według RMMS</t>
  </si>
  <si>
    <t>Długość linii będących w zarządzie (w km) według BDL GUS</t>
  </si>
  <si>
    <t>PKP PLK S.A.</t>
  </si>
  <si>
    <t>PKP LHS Sp. z o.o.</t>
  </si>
  <si>
    <t>KP Kotlarnia - Linie Kolejowe Sp. z o.o.</t>
  </si>
  <si>
    <t>Infra Silesia S.A.</t>
  </si>
  <si>
    <t>PMT Linie Kolejowe Sp. z o.o.</t>
  </si>
  <si>
    <t>Jastrzębska Spółka Kolejowa Sp. z o.o.</t>
  </si>
  <si>
    <t>Warszawska Kolej Dojazdowa Sp. z o.o.</t>
  </si>
  <si>
    <t>PKP SKM Sp. z o.o.</t>
  </si>
  <si>
    <t>Dolnośląska Służba Dróg i Kolei we Wrocławiu</t>
  </si>
  <si>
    <t>CTL Maczki-Bór S.A.</t>
  </si>
  <si>
    <t>Pomorska Kolej Metropolitalna S.A.</t>
  </si>
  <si>
    <t>Cargotor Sp. z o.o.</t>
  </si>
  <si>
    <t>Euroterminal Sławków Sp. z o.o.</t>
  </si>
  <si>
    <t>UBB Polska Sp. z o.o.</t>
  </si>
  <si>
    <t>Stan techniczny linii PKP PLK</t>
  </si>
  <si>
    <t>niedostateczny</t>
  </si>
  <si>
    <t>dostateczny</t>
  </si>
  <si>
    <t>dobry</t>
  </si>
  <si>
    <t>Całkowita długość nowych linii kolejowych (CI 11) [km]</t>
  </si>
  <si>
    <t>liczba projektów</t>
  </si>
  <si>
    <t>wartośc projektów</t>
  </si>
  <si>
    <t>wskaźnik</t>
  </si>
  <si>
    <t>Całkowita długość przebudowanych lub zmodernizowanych linii kolejowych (CI 12) [km]</t>
  </si>
  <si>
    <t>wskaźniki wg SL2014</t>
  </si>
  <si>
    <t>Całkowita długość nowych linii kolejowych CEF</t>
  </si>
  <si>
    <t>średnia wartośc wskaźnika</t>
  </si>
  <si>
    <t>zł/km</t>
  </si>
  <si>
    <t>Koszt szacunkowy</t>
  </si>
  <si>
    <t>niedostateczny stan linii</t>
  </si>
  <si>
    <t>dostateczny stan linii</t>
  </si>
  <si>
    <t>mln zł/rok</t>
  </si>
  <si>
    <t>Member state</t>
  </si>
  <si>
    <t>Utrzymanie (euro)/1 km</t>
  </si>
  <si>
    <t>AT</t>
  </si>
  <si>
    <t>BE</t>
  </si>
  <si>
    <t>BG</t>
  </si>
  <si>
    <t>CZ</t>
  </si>
  <si>
    <t>DE</t>
  </si>
  <si>
    <t>DK</t>
  </si>
  <si>
    <t>EE</t>
  </si>
  <si>
    <t>EL</t>
  </si>
  <si>
    <t>ES</t>
  </si>
  <si>
    <t>FI</t>
  </si>
  <si>
    <t>FR</t>
  </si>
  <si>
    <t>HR</t>
  </si>
  <si>
    <t>HU</t>
  </si>
  <si>
    <t>IE</t>
  </si>
  <si>
    <t>IT</t>
  </si>
  <si>
    <t>LT</t>
  </si>
  <si>
    <t>LU</t>
  </si>
  <si>
    <t>LV</t>
  </si>
  <si>
    <t>NL</t>
  </si>
  <si>
    <t>PL</t>
  </si>
  <si>
    <t>PT</t>
  </si>
  <si>
    <t>RO</t>
  </si>
  <si>
    <t>SE</t>
  </si>
  <si>
    <t>SI</t>
  </si>
  <si>
    <t>SK</t>
  </si>
  <si>
    <t>UK</t>
  </si>
  <si>
    <t>1 PLN = 4,3</t>
  </si>
  <si>
    <t xml:space="preserve"> średnia UE</t>
  </si>
  <si>
    <t>wartość w zł</t>
  </si>
  <si>
    <t>Koszt utrzymania w PL</t>
  </si>
  <si>
    <t>Poziom docelowy wydatków na utrzymanie 1km linii kolejowych jako średnia UE</t>
  </si>
  <si>
    <t xml:space="preserve">Łączny docelowy poziom roczny utrzymania linii kolejowych </t>
  </si>
  <si>
    <t>2019-2023 (Umowa utrzymaniowa)</t>
  </si>
  <si>
    <t>średniorocznie</t>
  </si>
  <si>
    <t>niezabezpieczone</t>
  </si>
  <si>
    <t>Zabezpieczone środki na utrzymanie</t>
  </si>
  <si>
    <t>niezabezpieczone od 2019 roku do 2030 roku</t>
  </si>
  <si>
    <t>CPK</t>
  </si>
  <si>
    <t>670 km linii dużych prędkości;</t>
  </si>
  <si>
    <t>740 km linii głównych;</t>
  </si>
  <si>
    <t>190 km linii uzupełniających;</t>
  </si>
  <si>
    <t>1 km SL2014 (nowe linie)</t>
  </si>
  <si>
    <t>suma w mln zł</t>
  </si>
  <si>
    <t xml:space="preserve">razem </t>
  </si>
  <si>
    <t>CPK - linie kolejowe</t>
  </si>
  <si>
    <t>CPK - dworzec</t>
  </si>
  <si>
    <t>potrzeby inwestycyjne</t>
  </si>
  <si>
    <t>niezabezpieczone ppotrzeby inwestycyjne</t>
  </si>
  <si>
    <t>Linie kolejowe</t>
  </si>
  <si>
    <t>Środki finansowe zabezpieczone - kontynuacja KPK do 2030 r.</t>
  </si>
  <si>
    <t>Podsumowanie</t>
  </si>
  <si>
    <t>BCT - BAŁTYCKI TERMINAL KONTENEROWY SP. Z O.O.</t>
  </si>
  <si>
    <t>Gdynia Container Terminal S.A.</t>
  </si>
  <si>
    <t>DEEPWATER CONTAINER TERMINAL GDAŃSK</t>
  </si>
  <si>
    <t>GDAŃSKI TERMINAL KONTENEROWY S.A.</t>
  </si>
  <si>
    <t>DB PORT SZCZECIN SP. Z O.O.</t>
  </si>
  <si>
    <t>OT Port Świnoujście – Terminal Kontenerowy</t>
  </si>
  <si>
    <t>Terminal Kontenerowy Szamotuły</t>
  </si>
  <si>
    <t>Loconi Intermodal Terminal Kontenerowy Poznań</t>
  </si>
  <si>
    <t>Terminal Kontenerowy Poznań Franowo</t>
  </si>
  <si>
    <t>Metrans HUB Terminal Poznań</t>
  </si>
  <si>
    <t>Centrum Logistyczno-Inwestycyjne Poznań II</t>
  </si>
  <si>
    <t>PCC INTERMODAL – TERMINAL PCC BRZEG DOLNY</t>
  </si>
  <si>
    <t>Terminal Kontenerowy Schavemaker Kąty Wrocławskie - Schavemaker</t>
  </si>
  <si>
    <t>Loconi Intermodal Terminal Kontenerowy Warszawa</t>
  </si>
  <si>
    <t>Terminal Kontenerowy Warszawa – PKP CARGO CONNECT Sp. z o.o.</t>
  </si>
  <si>
    <t>Metrans Terminal Kontenerowy Pruszków</t>
  </si>
  <si>
    <t>PCC INTERMODAL – TERMINAL PCC KUTNO</t>
  </si>
  <si>
    <t>Erontrans Terminal Kontenerowy w Strykowie</t>
  </si>
  <si>
    <t>Terminal Kontenerowy Spedcont Łódź</t>
  </si>
  <si>
    <t>Terminal Kontenerowy Łódź Chojny</t>
  </si>
  <si>
    <t>Terminal Kontenerowy Radomsko</t>
  </si>
  <si>
    <t>Erontrans Terminal Kontenerowy w Radomsku</t>
  </si>
  <si>
    <t>PCC INTERMODAL – TERMINAL PCC GLIWICE</t>
  </si>
  <si>
    <t>Terminal Kontenerowy Gliwice - PKP CARGO CONNECT Sp. z o.o.</t>
  </si>
  <si>
    <t>Metrans Terminal Dąbrowa Górnicza</t>
  </si>
  <si>
    <t>EUROTERMINAL SŁAWKÓW</t>
  </si>
  <si>
    <t>Brzeski Terminal Kontenerowy - KARPIEL Sp. z o.o.</t>
  </si>
  <si>
    <t>Terminal PCC Kolbuszowa</t>
  </si>
  <si>
    <t>Lubelski Terminal Kontenerowy</t>
  </si>
  <si>
    <t>EUROPORT Małaszewicze Duże</t>
  </si>
  <si>
    <t>PKP Cargo Centrum Logistyczne Małaszewicze</t>
  </si>
  <si>
    <t>Terminal T1 Żurawica (kontenerowy kolejowy)</t>
  </si>
  <si>
    <t>Terminal T2 Medyka (kontenerowy kolejowy)</t>
  </si>
  <si>
    <t>Terminal Kontenerowy Siechnice</t>
  </si>
  <si>
    <t>Terminal kontenerowy Włosienica</t>
  </si>
  <si>
    <t>Rail Terminal Rzepin</t>
  </si>
  <si>
    <t>ANDREX LOGISTICS TERMINAL CHRYZANÓW</t>
  </si>
  <si>
    <t>Terminal w Ełku - Nelport Gróbarczyk, Kaniewska, Mieczkowski sp.j.</t>
  </si>
  <si>
    <t>Terminal Centrostal Łódź S.A.</t>
  </si>
  <si>
    <t>OstSped Kalisz Terminal</t>
  </si>
  <si>
    <t>Lista aktywnych terminali intermodalnych</t>
  </si>
  <si>
    <t>nazwa</t>
  </si>
  <si>
    <t>powierzchnia Polski</t>
  </si>
  <si>
    <t>gęstość terminali</t>
  </si>
  <si>
    <t>Centrum logsitcyzno inwestycyjne Poznań II - Jasin</t>
  </si>
  <si>
    <t>Budowa - kąty wrocławskie</t>
  </si>
  <si>
    <t>Budowa Terminala EUROPORT w Małaszewi</t>
  </si>
  <si>
    <t>Budowa Centrum Usług Logistycznych Elana</t>
  </si>
  <si>
    <t>Budowa terminalu intermodalnego w Kórniku koło Pozna</t>
  </si>
  <si>
    <t>Budowa ogólnodostępnego, intermodalnego Terminala Kontenerowego wraz z infrastrukturą w Kątach Wrocławskich</t>
  </si>
  <si>
    <t>Budowa terminalu intermodalnego w Brwinowie koło Warsza</t>
  </si>
  <si>
    <t>Budowa terminalu kontenerowego na Ostrowie Grabowskim w Porcie Szczecin - etap I</t>
  </si>
  <si>
    <t>Budowa terminalu intermodalnego w Dąbrowie Górniczej</t>
  </si>
  <si>
    <t>Budowa Intermodalnego Terminalu Kontenerowego wraz z obiektami towarzyszącymi w mieście Kutno</t>
  </si>
  <si>
    <t>Budowa i wyposażenie kolejowego terminala intermodalnego na stacji Poznań Franowo - Etap IA</t>
  </si>
  <si>
    <t>Budowa Intermodalnego Terminalu Kontenerowego wraz z obiektami towarzyszącymi w mieście Brzeg Doln</t>
  </si>
  <si>
    <t>Balticon</t>
  </si>
  <si>
    <t>Wskażnik kosztów inwestycji w terminale</t>
  </si>
  <si>
    <t>wartość całkowita</t>
  </si>
  <si>
    <t>koszt jednostkowy</t>
  </si>
  <si>
    <t>liczba bocznic</t>
  </si>
  <si>
    <r>
      <t>terminal/10000 km</t>
    </r>
    <r>
      <rPr>
        <vertAlign val="superscript"/>
        <sz val="11"/>
        <color theme="1"/>
        <rFont val="Calibri"/>
        <family val="2"/>
        <charset val="238"/>
        <scheme val="minor"/>
      </rPr>
      <t>2</t>
    </r>
  </si>
  <si>
    <t>tys. TEU</t>
  </si>
  <si>
    <t>2028 - prognoza</t>
  </si>
  <si>
    <t>różnica</t>
  </si>
  <si>
    <t>różnica w stosunku do 2018</t>
  </si>
  <si>
    <t>aktualna liczba terminali</t>
  </si>
  <si>
    <t>szt.</t>
  </si>
  <si>
    <t>wzrost do poziomu prognozy</t>
  </si>
  <si>
    <t>Łączny poziom docelowy</t>
  </si>
  <si>
    <t>wartość dodatkowych inwestycji w terminale</t>
  </si>
  <si>
    <t>koszt budowy/modernizacji bocznic w mln zł</t>
  </si>
  <si>
    <t>wartość łączna</t>
  </si>
  <si>
    <t>Intermodal</t>
  </si>
  <si>
    <t>sztuk</t>
  </si>
  <si>
    <t>model</t>
  </si>
  <si>
    <t>producent</t>
  </si>
  <si>
    <t>koszt łączny</t>
  </si>
  <si>
    <t>https://forsal.pl/artykuly/1318637,ponad-45-mln-zl-za-3-lokomotywy-dragon-2-newag-ma-umowe-z-pkp-cargo.html</t>
  </si>
  <si>
    <t>Dragon 2</t>
  </si>
  <si>
    <t>Newag</t>
  </si>
  <si>
    <t>https://www.tvp.info/37418797/nowe-lokomotywy-dla-pkp-intercity-dostarczy-je-polska-firma</t>
  </si>
  <si>
    <t>Griffin</t>
  </si>
  <si>
    <t>https://biznesalert.pl/pkp-cargo-kupilo-od-siemensa-lokomotywy-za-300-mln-zl/?doing_wp_cron=1580392733.0839970111846923828125</t>
  </si>
  <si>
    <t>Vectron</t>
  </si>
  <si>
    <t>Siemens</t>
  </si>
  <si>
    <t>https://www.pb.pl/pkp-cargo-podpisaly-umowe-z-newagiem-na-31-lokomotyw-za-ponad-500-mln-zl-970548</t>
  </si>
  <si>
    <t>lokomotywy spalinowe</t>
  </si>
  <si>
    <t>https://www.wnp.pl/logistyka/pkp-intercity-kupuje-nowe-lokomotywy-spalinowe,189250.html</t>
  </si>
  <si>
    <t>GAMA</t>
  </si>
  <si>
    <t>PESA</t>
  </si>
  <si>
    <t>https://www.rynek-kolejowy.pl/wiadomosci/kupuja-u-siebie-pfr-wyda-296-mln-zl-na-lokomotywy-pesa-gama-92354.html</t>
  </si>
  <si>
    <t>z utrzymaniem</t>
  </si>
  <si>
    <t>uwagi</t>
  </si>
  <si>
    <t>koszt średni</t>
  </si>
  <si>
    <t>wagony</t>
  </si>
  <si>
    <t>https://www.forbes.pl/wiadomosci/pkp-intercity-zamawia-nowe-wagony-za-38-mln-euro/xzcs678</t>
  </si>
  <si>
    <t>https://biznesalert.pl/nowe-wagony-pkp-intercity/</t>
  </si>
  <si>
    <t>EZT</t>
  </si>
  <si>
    <t>https://wroclaw.wyborcza.pl/wroclaw/56,35771,24763927,zakup-elektrycznych-zespolow-trakcyjnych,,5.html</t>
  </si>
  <si>
    <t>DART</t>
  </si>
  <si>
    <t>https://www.mazowieckie.com.pl/pl/zakup-10-szt-czteroczlonowych-elektrycznych-zespolow-trakcyjnych-typu-er-75-flirt</t>
  </si>
  <si>
    <t>FLIRT</t>
  </si>
  <si>
    <t>Stadler</t>
  </si>
  <si>
    <t>https://www.rynek-kolejowy.pl/mobile/stadler-z-umowa-na-12-flirtow-dla-kolei-mazowieckich-dla-trasy-sochaczewwarszawacelestynow-91249.html</t>
  </si>
  <si>
    <t>https://www.rynek-kolejowy.pl/mobile/pierwsze-nowe-mazowieckie-flirty-przewioza-pasazerow-jesienia-2019-86883.html</t>
  </si>
  <si>
    <t>http://inforail.pl/koleje-dolnoslaskie-uniewaznily-przetarg-na-ezt-y-i-szt-y_more_109053.html</t>
  </si>
  <si>
    <t>NEWAG</t>
  </si>
  <si>
    <t>Spalinowe ZT</t>
  </si>
  <si>
    <t>https://koleje-wielkopolskie.com.pl/2018/02/rozstrzygniecie-przetargu-nieograniczonego-na-zakup-czterech-spalinowych-zespolow-trakcyjnych-do-wykonywania-regionalnych-kolejowych-przewozow-pasazerskich-wraz-z-ich-dostarczeniem/</t>
  </si>
  <si>
    <t>https://logistyka.rp.pl/transport/4766-pesa-mknie-po-bialoruskich-torach</t>
  </si>
  <si>
    <t>https://www.forbes.pl/wiadomosci/pesa-sprzeda-do-niemiec-pociagi-za-120-mln-euro/errk7lb</t>
  </si>
  <si>
    <t>https://www.rynek-kolejowy.pl/wiadomosci/newag-sklada-oferta-na-spalinowe-i-elektryczne-zespoly-trakcyjne-dla-kd-88368.html</t>
  </si>
  <si>
    <t>https://www.money.pl/gielda/wiadomosci/artykul/newag-dostarczyl-pierwsze-pociagi-na-sycylie,105,0,1983849.html</t>
  </si>
  <si>
    <t>w tym:</t>
  </si>
  <si>
    <t>Powyżej 40 lat w 2018</t>
  </si>
  <si>
    <t>Powyżej 40 lat w 2025</t>
  </si>
  <si>
    <t>Powyżej 40 lat w 2030</t>
  </si>
  <si>
    <t>Lokomotywy elektryczne</t>
  </si>
  <si>
    <t>Lokomotywy spalinowe</t>
  </si>
  <si>
    <t>Wagony z miejscami do siedzenia</t>
  </si>
  <si>
    <t>Wagony z miejscami do leżenia</t>
  </si>
  <si>
    <t>spalinowe zespoły trakcyjne / spalinowe wagony silnikowe</t>
  </si>
  <si>
    <t>Rodzaj pojazdu kolejowego (2018)</t>
  </si>
  <si>
    <t>elektryczne zespoły trakcyjne / elektryczne wagony silnikowe</t>
  </si>
  <si>
    <t>lokomotywy elektryczne</t>
  </si>
  <si>
    <t>w średniej nie uwzględniono projektu z utrzymaniem</t>
  </si>
  <si>
    <t>razem w zł</t>
  </si>
  <si>
    <t>Tabor pasażerski</t>
  </si>
  <si>
    <t>w eksploatacji</t>
  </si>
  <si>
    <t>modernizacja 75% taboru</t>
  </si>
  <si>
    <t>razem modernizacja (mln zł)</t>
  </si>
  <si>
    <t>zakup 25% taboru</t>
  </si>
  <si>
    <t>razem zakup (mln zł)</t>
  </si>
  <si>
    <t>Razem modernizacja i zakup</t>
  </si>
  <si>
    <t>Wagony kryte</t>
  </si>
  <si>
    <t>Węglarki</t>
  </si>
  <si>
    <t>Platformy</t>
  </si>
  <si>
    <t>Cysterny</t>
  </si>
  <si>
    <t>Wagony z dachami odchylanymi</t>
  </si>
  <si>
    <t>Wagony specjalne</t>
  </si>
  <si>
    <t>Wagony pozostałe</t>
  </si>
  <si>
    <t>koszt jednostkowy3</t>
  </si>
  <si>
    <t>Tabor cargo w 2017 roku</t>
  </si>
  <si>
    <t>Szacowana ilość w eksploatacji</t>
  </si>
  <si>
    <t>prowadzone inwestycje</t>
  </si>
  <si>
    <t>pozostaje w eksploatacji</t>
  </si>
  <si>
    <t xml:space="preserve"> suma </t>
  </si>
  <si>
    <t>koszt jednostkowy w zł</t>
  </si>
  <si>
    <t>Lata produkcji</t>
  </si>
  <si>
    <t>Liczba sztuk</t>
  </si>
  <si>
    <t>Udział %</t>
  </si>
  <si>
    <t>Wiek</t>
  </si>
  <si>
    <t>2008-2017</t>
  </si>
  <si>
    <t>Max. 9 lat</t>
  </si>
  <si>
    <t>1998-2007</t>
  </si>
  <si>
    <t>10-19 lat</t>
  </si>
  <si>
    <t>1988-1997</t>
  </si>
  <si>
    <t>20-29 lat</t>
  </si>
  <si>
    <t>1978-1987</t>
  </si>
  <si>
    <t>30-39 lat</t>
  </si>
  <si>
    <t>1968-1977</t>
  </si>
  <si>
    <t>40-49 lat</t>
  </si>
  <si>
    <t>1958-1967</t>
  </si>
  <si>
    <t>50-59 lat</t>
  </si>
  <si>
    <t>starsze</t>
  </si>
  <si>
    <t>pozostałe - starsze</t>
  </si>
  <si>
    <t>Tabor cargo</t>
  </si>
  <si>
    <t>poprawa przepustowości - landside</t>
  </si>
  <si>
    <t>bezpieczeństwo wykonywania operacji</t>
  </si>
  <si>
    <t>poprawa przepustowości - airside</t>
  </si>
  <si>
    <t>inne (komercyjne)</t>
  </si>
  <si>
    <t>security</t>
  </si>
  <si>
    <t>safety</t>
  </si>
  <si>
    <t>cargo</t>
  </si>
  <si>
    <t>ochrona środowiska</t>
  </si>
  <si>
    <t>TSI PRM</t>
  </si>
  <si>
    <t>rodzaj inwestycji</t>
  </si>
  <si>
    <t>szacunek kosztów w mln zł</t>
  </si>
  <si>
    <t>razem porty regionalne</t>
  </si>
  <si>
    <t>Łączne potrzeby inwestycyjne</t>
  </si>
  <si>
    <t>Lotniska</t>
  </si>
  <si>
    <t>Program rozwoju polskich portów morskich do 2030 roku</t>
  </si>
  <si>
    <t>SOR</t>
  </si>
  <si>
    <t>Program wieloletni pn. „Budowa drogi wodnej łączącej Zalew Wiślany z Zatoką Gdańską na lata 2016-2022”</t>
  </si>
  <si>
    <t>Port Centralny w Gdańsku</t>
  </si>
  <si>
    <t>https://www.portalmorski.pl/porty-logistyka/43911-grobarczyk-w-tej-kadencji-rozpoczniemy-inwestycje-morskie-o-wartosci-44-mld-zl</t>
  </si>
  <si>
    <t>Port Zewnętrzny w Gdyni</t>
  </si>
  <si>
    <t>Terminal Kontenerowy w Świnoujściu</t>
  </si>
  <si>
    <t>Modernizacja toru wodnego Świnoujście-Szczecin do głębokości 12,5 m</t>
  </si>
  <si>
    <t>Program wieloletni pn. „Utrzymanie dróg wodnych w rejonie ujścia Odry w latach 2019-2028”</t>
  </si>
  <si>
    <t>planowane inwestycje</t>
  </si>
  <si>
    <t>źródło informacji</t>
  </si>
  <si>
    <t>Województwo pomorskie</t>
  </si>
  <si>
    <t>Województwo zachodniopomorskie</t>
  </si>
  <si>
    <t>Województwo warmińsko-mazurskie</t>
  </si>
  <si>
    <t>Porty morskie</t>
  </si>
  <si>
    <t>Żegluga śródlądowa</t>
  </si>
  <si>
    <t>Odrzańska Droga Wodna
(z D-O-L i Kanałem Śląskim)</t>
  </si>
  <si>
    <t>Kaskada Wisły na odcinku
Warszawa – Gdańsk</t>
  </si>
  <si>
    <t>Połączenie Odra – Wisła</t>
  </si>
  <si>
    <t>Połączenie Wisła – Brześć</t>
  </si>
  <si>
    <t>Szacunkowe potrzeby inwestycyjne</t>
  </si>
  <si>
    <t>Szacunkowe koszty przystosowania dróg wodnych w Polsce  do parametrów szlaków żeglugowych o znaczeniu międzynarodowym</t>
  </si>
  <si>
    <t>Odrzańska Droga Wodna wraz z Kanałem Gliwickim i połączeniem Odra – Dunaj</t>
  </si>
  <si>
    <t>Środkowy i dolny odcinek Wisły od Warszawy do Gdańska</t>
  </si>
  <si>
    <t xml:space="preserve">Kanał Śląski </t>
  </si>
  <si>
    <t>Droga wodna Warszawa-Brześć</t>
  </si>
  <si>
    <t>Transport publiczny</t>
  </si>
  <si>
    <t>autobusy</t>
  </si>
  <si>
    <t>tramwaje</t>
  </si>
  <si>
    <t>trolejbusy</t>
  </si>
  <si>
    <t>miejsca w wozach</t>
  </si>
  <si>
    <t>miejsca w autobusach</t>
  </si>
  <si>
    <t>miejsca w tramwajach</t>
  </si>
  <si>
    <t>[tys. szt.]</t>
  </si>
  <si>
    <t>przebieg wozów ogółem w tys. wozo-km</t>
  </si>
  <si>
    <t>[-]</t>
  </si>
  <si>
    <t>Udział autobusów niskoemisyjnych</t>
  </si>
  <si>
    <t>4,20%</t>
  </si>
  <si>
    <t>16%</t>
  </si>
  <si>
    <t>POIS.08.03.00-00-013/10-05</t>
  </si>
  <si>
    <t>Budowa Zintegrowanego Systemu Zarządzania Ruchem Drogowym w Kaliszu - etap I</t>
  </si>
  <si>
    <t>Powiat m. Kalisz</t>
  </si>
  <si>
    <t>M. Kalisz</t>
  </si>
  <si>
    <t>POIS.08.03.00-00-003/10-05</t>
  </si>
  <si>
    <t>Budowa zintegrowanego systemu zarządzania ruchem i transportem publicznym w mieście Legnica</t>
  </si>
  <si>
    <t>Powiat m. Legnica</t>
  </si>
  <si>
    <t>M. Legnica</t>
  </si>
  <si>
    <t>POIS.08.03.00-00-012/10-03</t>
  </si>
  <si>
    <t>Inteligentne Systemy Transportowe w Bydgoszczy</t>
  </si>
  <si>
    <t>Kujawsko-pomorskie</t>
  </si>
  <si>
    <t>Powiat m. Bydgoszcz</t>
  </si>
  <si>
    <t>M. Bydgoszcz</t>
  </si>
  <si>
    <t>POIS.08.03.00-00-007/10-03</t>
  </si>
  <si>
    <t>Inteligentny system transportu "ITS Wrocław"</t>
  </si>
  <si>
    <t>Powiat m. Wrocław</t>
  </si>
  <si>
    <t>M. Wrocław</t>
  </si>
  <si>
    <t>POIS.08.03.00-00-014/10-04</t>
  </si>
  <si>
    <t>Poprawa funkcjonowania transportu miejskiego w aglomeracji szczecińskiej poprzez zastosowanie systemow telematycznych</t>
  </si>
  <si>
    <t>Powiat m. Szczecin</t>
  </si>
  <si>
    <t>M. Szczecin</t>
  </si>
  <si>
    <t>POIS.08.03.00-00-011/10-04</t>
  </si>
  <si>
    <t>Rozbudowa inteligentnego systemu transportu drogowego na terenie miasta Rzeszowa</t>
  </si>
  <si>
    <t>Powiat m. Rzeszów</t>
  </si>
  <si>
    <t>M. Rzeszów</t>
  </si>
  <si>
    <t>POIS.08.03.00-00-006/10-04</t>
  </si>
  <si>
    <t>Rozbudowa systemu detekcji na terenie miasta Gliwice wraz z modernizacją wybranych sygnalizacji świetlnych, etap I</t>
  </si>
  <si>
    <t>Powiat m. Gliwice</t>
  </si>
  <si>
    <t>M. Gliwice</t>
  </si>
  <si>
    <t>POIS.08.03.00-00-009/10-03</t>
  </si>
  <si>
    <t>Rozwój systemu zarządzania transportem publicznym w Krakowie</t>
  </si>
  <si>
    <t>Powiat m. Kraków</t>
  </si>
  <si>
    <t>M. Kraków</t>
  </si>
  <si>
    <t>POIS.08.03.00-00-001/10-04</t>
  </si>
  <si>
    <t>System Dynamicznej Informacji Pasażerskiej na obszarze działalności KZK GOP</t>
  </si>
  <si>
    <t>Powiat będziński</t>
  </si>
  <si>
    <t>POIS.08.03.00-00-002/10-03</t>
  </si>
  <si>
    <t>System ITS Poznań</t>
  </si>
  <si>
    <t>Powiat m. Poznań</t>
  </si>
  <si>
    <t>M. Poznań</t>
  </si>
  <si>
    <t>POIS.08.03.00-00-004/10-04</t>
  </si>
  <si>
    <t>Wdrożenie Zintegrowanego Systemu Zarządzania Ruchem TRISTAR w Gdańsku, Gdyni i Sopocie</t>
  </si>
  <si>
    <t>Powiat m. Gdynia</t>
  </si>
  <si>
    <t>M. Gdynia</t>
  </si>
  <si>
    <t>POIS.08.03.00-00-008/10-02</t>
  </si>
  <si>
    <t>Wsparcie obsługi i bezpieczenstwa pasażerów MZK Jastrzębie innowacyjnymi systemami informatycznymi</t>
  </si>
  <si>
    <t>Powiat wodzisławski</t>
  </si>
  <si>
    <t>Wodzisław Śląski</t>
  </si>
  <si>
    <t>województwo</t>
  </si>
  <si>
    <t>powiat</t>
  </si>
  <si>
    <t>gmina</t>
  </si>
  <si>
    <t>POMORSKA KOLEJ METROPOLITALNA S.A.</t>
  </si>
  <si>
    <t>Pomorska Kolej Metropolitalna Etap I - rewitalizacja "Kolei Kokoszkowskiej" Faza II - realizacja przedsięwzięcia - FAZA II</t>
  </si>
  <si>
    <t>WOJEWÓDZTWO MAŁOPOLSKIE</t>
  </si>
  <si>
    <t>Zakup taboru kolejowego: nowoczesnych elektrycznych zespołów trakcyjnych na potrzeby rozwoju kolei małopolskich (POIiŚ 2014-2020)</t>
  </si>
  <si>
    <t>WOJEWÓDZTWO WIELKOPOLSKIE Z SIEDZIBĄ URZĘDU MARSZAŁKOWSKIEGO WOJEWÓDZTWA WIELKOPOLSKIEGO W POZNANIU</t>
  </si>
  <si>
    <t>Zakup taboru dla aglomeracyjnych kolejowych przewozów pasażerskich na obszarze Poznańskiej Kolei Metropolitalnej.</t>
  </si>
  <si>
    <t>KOLEJE DOLNOŚLĄSKIE S.A.</t>
  </si>
  <si>
    <t>Aglomeracyjna Kolej Dolnośląska - zakup taboru kolejowego do obsługi ruchu pasażerskiego we Wrocławskim Obszarze Funkcjonalnym.</t>
  </si>
  <si>
    <t>WOJEWÓDZTWO PODKARPACKIE</t>
  </si>
  <si>
    <t>Budowa Podmiejskiej Kolei Aglomeracyjnej PKA: Zakup taboru wraz z budową zaplecza technicznego.</t>
  </si>
  <si>
    <t>SZYBKA KOLEJ MIEJSKA SP. Z O.O.</t>
  </si>
  <si>
    <t>Rozszerzenie potencjału przewozowego kolei metropolitarnej na terenie Warszawskiego Obszaru Funkcjonalnego - etap I.</t>
  </si>
  <si>
    <t>STOWARZYSZENIE SZCZECIŃSKIEGO OBSZARU METROPOLITARNEGO</t>
  </si>
  <si>
    <t>Budowa Szczecińskiej Kolei Metropolitalnej z wykorzystaniem istniejących odcinków linii kolejowych nr 406, 273, 351</t>
  </si>
  <si>
    <t>Budowa Podmiejskiej Kolei Aglomeracyjnej - PKA: Budowa i modernizacja linii kolejowych oraz infrastruktury przystankowej</t>
  </si>
  <si>
    <t>Pomorska Kolej Metropolitalna Etap I - rewitalizacja "Kolei Kokoszkowskiej" Faza III - elektryfikacja linii kolejowych nr 248 i 253 wraz z budową przystanku Gdańsk Firoga</t>
  </si>
  <si>
    <t>WARSZAWSKA KOLEJ DOJAZDOWA SP. Z O. O.</t>
  </si>
  <si>
    <t>Modernizacja infrastruktury kolejowej linii WKD – poprzez budowę drugiego toru linii kolejowej nr 47 od Podkowy Leśnej do Grodziska Mazowieckiego</t>
  </si>
  <si>
    <t>nazwa projektu</t>
  </si>
  <si>
    <t>beneficjent</t>
  </si>
  <si>
    <t>beneficjent POIiŚ 2014-2020</t>
  </si>
  <si>
    <t>średni koszt</t>
  </si>
  <si>
    <t>POLSKIE KOLEJE PAŃSTWOWE S.A.</t>
  </si>
  <si>
    <t>Modernizacja wybranych dworców przy linii kolejowej nr 274 na odcinku Wrocław - Boguszów Gorce Zachód wraz z przedłużeniem przy linii 311, wybranych dworców przy linii kolejowej nr 282 wraz z dworcem na st. Malczyce położonym przy linii 275</t>
  </si>
  <si>
    <t>Modernizacja wybranych dworców na linii kolejowej 213</t>
  </si>
  <si>
    <t>Modernizacja wybranych dworców przy liniach kolejowych nr 3, 203 oraz 358</t>
  </si>
  <si>
    <t>Modernizacja wybranych dworców przy linii kolejowej nr 26 Radom - Dęblin i nr 8 Radom - Kielce</t>
  </si>
  <si>
    <t>INNOBALTICA SPÓŁKA Z O.O.</t>
  </si>
  <si>
    <t>Zwiększenie dostępności regionalnego transportu kolejowego w województwie pomorskim poprzez jego integrację z transportem lokalnym – budowa elektronicznej platformy zintegrowanych usług mobilności</t>
  </si>
  <si>
    <t>https://businessinsider.com.pl/firmy/solaris-dostarczy-elektryczne-autobusy-dla-warszawy-za-ok-400-mln-zl/r9ph7cx</t>
  </si>
  <si>
    <t>liczba autobusów</t>
  </si>
  <si>
    <t>jednostkowy</t>
  </si>
  <si>
    <t xml:space="preserve">koszt całkowity w mln </t>
  </si>
  <si>
    <t>https://www.transport-publiczny.pl/mobile/elektrobusy-dla-krakowa-solaris-gora-64176.html</t>
  </si>
  <si>
    <t>https://www.transport-publiczny.pl/mobile/lublin-z-elektrobusami-solarisa-przetargi-rozstrzygniete-64179.html</t>
  </si>
  <si>
    <t>źródło</t>
  </si>
  <si>
    <t>ITS - Nr projektu POIiŚ 2007-2013</t>
  </si>
  <si>
    <t>miasta reg,woj., subreg.</t>
  </si>
  <si>
    <t>miasta lokalne</t>
  </si>
  <si>
    <t>miasta rangi wojewódzkiej</t>
  </si>
  <si>
    <t>miasta regionalne</t>
  </si>
  <si>
    <t>miasta suberegionalne</t>
  </si>
  <si>
    <t>do realizacji</t>
  </si>
  <si>
    <t>zrealizowano (na podstawie IRMiR)</t>
  </si>
  <si>
    <t>Szacunki IRMiR - miasta z funkcjonującym systemem transportu publicznego</t>
  </si>
  <si>
    <t>szacunkowy koszt potrzeb inwestycyjnych  modernizacji istniejących systemów mln zł</t>
  </si>
  <si>
    <t>szacunkowy koszt potrzeb inwestycyjnych  nowych systemów mln zł</t>
  </si>
  <si>
    <t>Poznańska Kolej Metropolitalna</t>
  </si>
  <si>
    <t>Warszawska Kolej Dojazdowa</t>
  </si>
  <si>
    <t>Szybka Kolej Miejska w Warszawie</t>
  </si>
  <si>
    <t>Szybka Kolej Miejska w Trójmieście</t>
  </si>
  <si>
    <t>BiT City</t>
  </si>
  <si>
    <t>Szybka Kolej Regionalna</t>
  </si>
  <si>
    <t>Łódzka Kolej Aglomeracyjna</t>
  </si>
  <si>
    <t>Szczecińska Kolej Aglomeracyjna</t>
  </si>
  <si>
    <t>Podkarpacka Kolej Aglomeracyjna</t>
  </si>
  <si>
    <t>nowe inwestycje</t>
  </si>
  <si>
    <t>dodatkowe inwestycje</t>
  </si>
  <si>
    <t>Małopolska Szybka Kolej Aglomeracyjna</t>
  </si>
  <si>
    <t xml:space="preserve">Łączne potrzeby inwestycyjne </t>
  </si>
  <si>
    <t>Autobusy niskoemisyjne</t>
  </si>
  <si>
    <t>kolej aglomeracyjna</t>
  </si>
  <si>
    <t>trawaje</t>
  </si>
  <si>
    <t>metro</t>
  </si>
  <si>
    <t>Radom, Kielce, Bielsko-Biała, Białystok i Tarnów</t>
  </si>
  <si>
    <t>km linii</t>
  </si>
  <si>
    <t>liczba taboru</t>
  </si>
  <si>
    <t>koszt jednostkowy taboru w mln zł</t>
  </si>
  <si>
    <t>Łącznie</t>
  </si>
  <si>
    <t>Nowe linie tramwajowe - Tramwaj dla polskich miast - Łukasz Zaborowski - 2018</t>
  </si>
  <si>
    <t>koszt jednostkowy budowy 1 km linii w mln zł</t>
  </si>
  <si>
    <t>razem tabor w mln zł</t>
  </si>
  <si>
    <t>razem linie w mln zł</t>
  </si>
  <si>
    <t>PLN/km</t>
  </si>
  <si>
    <t>EUR/km</t>
  </si>
  <si>
    <t>Budowa II linii metra, wraz z infrastrukturą towarzyszącą i zakupem taboru – etap II</t>
  </si>
  <si>
    <t>Budowa II linii metra wraz z zakupem taboru – etap III</t>
  </si>
  <si>
    <t>STP Mory</t>
  </si>
  <si>
    <t>III linia</t>
  </si>
  <si>
    <t>długość [km]</t>
  </si>
  <si>
    <t>koszt szacunkowy</t>
  </si>
  <si>
    <t>PBRW 2006</t>
  </si>
  <si>
    <t>DŚU II linia metra z 2009 r</t>
  </si>
  <si>
    <t>Kraków</t>
  </si>
  <si>
    <t>projekt</t>
  </si>
  <si>
    <t>Zakup niskopodłogowego taboru tramwajowego w celu usprawnienia i poprawy jakości miejskiej komunikacji zbiorowej w Krakowie – część I</t>
  </si>
  <si>
    <t>Budowa wybranych odcinków tras tramwajowych w Warszawie wraz z zakupem taboru</t>
  </si>
  <si>
    <t>Budowa trasy tramwajowej wzdłuż ul. Kujawskiej na odcinku od ronda Kujawskiego do ronda Bernardyńskiego wraz z rozbudową układu drogowego, przebudową infrastruktury transportu szynowego oraz zakupem taboru w Bydgoszczy.</t>
  </si>
  <si>
    <t>Budowa trasy tramwajowej łączącej ul. Fordońską z ul. Toruńską wraz z rozbudową układu drogowego, przebudową infrastruktury transportu szynowego w Bydgoszczy;</t>
  </si>
  <si>
    <t>Budowa linii tramwajowej KST etap III (os. Krowodrza Góra - Górka Narodowa) wraz z budową dwupoziomowego skrzyżowania w ciągu ul. Opolskiej</t>
  </si>
  <si>
    <t>Budowa linii tramwajowej wzdłuż Trasy Łagiewnickiej</t>
  </si>
  <si>
    <t>Modernizacja floty taboru tramwajowego we Wrocławiu pod względem polepszenia efektywności energetycznej oraz zapewnienia dostępności dla osób o ograniczonej sprawności poruszania się – Etap IA</t>
  </si>
  <si>
    <t>Przebudowa torowiska tramwajowego w ciągu ul. Toruńskiej</t>
  </si>
  <si>
    <t>Przebudowa torowisk tramwajowych w Szczecinie - etap II</t>
  </si>
  <si>
    <t>Budowa nowych tras tramwajowych w Szczecinie</t>
  </si>
  <si>
    <t>Zintegrowany Projekt modernizacji i rozwoju infrastruktury tramwajowej w Aglomeracji Śląsko – Zagłębiowskiej wraz z zakupem taboru tramwajowego - etap I</t>
  </si>
  <si>
    <t>Zintegrowany Projekt modernizacji i rozwoju infrastruktury tramwajowej w Aglomeracji Śląsko – Zagłębiowskiej wraz z zakupem taboru tramwajowego - etap II</t>
  </si>
  <si>
    <t>System zrównoważonego transportu miejskiego w Gorzowie Wlkp. - tabor tramwajowy i infrastruktura techniczna</t>
  </si>
  <si>
    <t>Budowa wydzielonej trasy autobusowo-tramwajowej łączącej osiedle Nowy Dwór z Centrum Wrocławia</t>
  </si>
  <si>
    <t>Program Centrum - etap II - budowa trasy tramwajowej wraz z uspokojeniem ruchu samochodowego w ulicy Ratajczaka</t>
  </si>
  <si>
    <t>Zakup nowoczesnego niskopodłogowego taboru tramwajowego</t>
  </si>
  <si>
    <t>Program Centrum – etap I – przebudowa tras tramwajowych wraz z uspokojeniem ruchu samochodowego w ulicach: Św. Marcin, Fredry, Mielżyńskiego, 27 grudnia, Pl. Wolności, Towarowa</t>
  </si>
  <si>
    <t>Budowa trasy tramwajowej do Wilanowa wraz z zakupem taboru oraz infrastrukturą towarzyszącą.</t>
  </si>
  <si>
    <t>Modernizacja torowisk tramwajowych wraz z infrastrukturą towarzyszącą</t>
  </si>
  <si>
    <t>Budowa trasy tramwajowej od pętli Wilczak do Naramowic w Poznaniu</t>
  </si>
  <si>
    <t>Przebudowa trasy tramwajowej: Kórnicka - os. Lecha - Rondo Żegrze wraz z budową odcinka od ronda Żegrze do ul. Unii Lubelskiej</t>
  </si>
  <si>
    <t>Budowa tramwaju na Gocław w Warszawie wraz z zakupem taboru</t>
  </si>
  <si>
    <t>Przebudowa trasy tramwajowej w ulicy Dąbrowskiego</t>
  </si>
  <si>
    <t>Kompleksowy program integracji sieci niskoemisyjnego transportu publicznego w metropolii łódzkiej wraz z zakupem taboru do obsługi trasy W-Z oraz innych linii komunikacyjnych i modernizacją zajezdni tramwajowych w Łodzi</t>
  </si>
  <si>
    <t>Przebudowa infrastruktury tramwajowej dla potrzeb transportu publicznego w Grudziądzu</t>
  </si>
  <si>
    <t>Przebudowa układu torowo-drogowego w ul. Wały gen. Sikorskiego i al. Jana Pawła II wraz z budową pasa tramwajowo – autobusowego w Toruniu – BiT-City II</t>
  </si>
  <si>
    <t>Przebudowa torowiska tramwajowego w ul. Wojska Polskiego na odcinku od ul. Krzysztofa Kamila Baczyńskiego do ul. Chemicznej wraz z zakupem taboru</t>
  </si>
  <si>
    <t>MODERNIZACJA TOROWISKA TRAMWAJOWEGO W KONSTANTYNOWIE ŁÓDZKIM</t>
  </si>
  <si>
    <t>ŁÓDZKI TRAMWAJ METROPOLITALNY: ETAP PABIANICE – KSAWERÓW</t>
  </si>
  <si>
    <t>NISKOEMISYJNY TRANSPORT W ŁODZI – ZAKUP 12 NISKOPODŁOGOWYCH TRAMWAJÓW WRAZ Z PAKIETEM EKSPLOATACYJNO-NAPRAWCZYM, SPECJALISTYCZNYM WYPOSAŻENIEM OBSŁUGOWYM I WYBUDOWANIEM HALI PRZEGLĄDOWO-NAPRAWCZEJ</t>
  </si>
  <si>
    <t>BUDOWA I PRZEBUDOWA LINII TRAMWAJOWEJ W ULICY WOJSKA POLSKIEGO NA ODC. OD UL. FRANCISZKAŃSKIEJ DO UL. STRYKOWSKIEJ WRAZ Z PRZEBUDOWĄ UKŁADU DROGOWEGO I NIEZBĘDNEJ INFRASTRUKTURY ORAZ BUDOWĄ POŁĄCZENIA TRAMWAJOWEGO WZDŁUŻ UL. STRYKOWSKIEJ Z PRZYSTANKIEM ŁKA ŁÓDŹ-MARYSIN</t>
  </si>
  <si>
    <t>Modernizacja infrastruktury autobusowo - tramwajowej na terenie Sosnowca - budowa i rozbudowa małych węzłów przesiadkowych i łączących je ścieżek rowerowych  </t>
  </si>
  <si>
    <t>Przebudowa liniowej infrastruktury tramwajowej w Częstochowie (odcinek 1, 2, 3, 4, 5a, 6) oraz zakup taboru tramwajowego na potrzeby transportu publicznego w Częstochowie</t>
  </si>
  <si>
    <t>Przebudowa drogi wojewódzkiej 504, etap II – budowa torowiska i trakcji tramwajowej w ul. Grota Roweckiego i ul. 12 Lutego w Elblągu</t>
  </si>
  <si>
    <t>Projekty tramwajowe POIiŚ 2014-2020</t>
  </si>
  <si>
    <t>Całkowita długość nowych lub zmodernizowanych linii tramwajowych i linii metra (CI 15) [km]</t>
  </si>
  <si>
    <t>wskaźnik SL2014</t>
  </si>
  <si>
    <t>wartosc projektów</t>
  </si>
  <si>
    <t xml:space="preserve">projekty metra </t>
  </si>
  <si>
    <t>wartość wskaźnika</t>
  </si>
  <si>
    <t>POIS 2007-2013 - budowa i modernizacja linii tramwajowych</t>
  </si>
  <si>
    <t>Długość linii tramwajowych</t>
  </si>
  <si>
    <t>linie tramwajowe</t>
  </si>
  <si>
    <t>ogółem linie tramwajowe</t>
  </si>
  <si>
    <t>Projekty zrealizowane w POIS 7-13</t>
  </si>
  <si>
    <t>Potrzeby inwestycyjne linii tramwajwych</t>
  </si>
  <si>
    <t>potrzeby inwestycyjne taboru</t>
  </si>
  <si>
    <t>ogółem tabor</t>
  </si>
  <si>
    <t>projekty realizowne 14-20</t>
  </si>
  <si>
    <t>https://www.newsweek.pl/biznes/tramwaje-w-polsce-liczba-pesa-solaris-newsweekpl/6ewjg20</t>
  </si>
  <si>
    <t>tramwaje niskopodłogowe na 2014 r</t>
  </si>
  <si>
    <t>projekty realizowne 14-20 - https://regiony.rp.pl/trendy/6726-polskie-miasta-przed-tramwajowym-boomem</t>
  </si>
  <si>
    <t>pozostaje bez modernizacji/do wymiany</t>
  </si>
  <si>
    <t>% nowych i zmodernizowanych</t>
  </si>
  <si>
    <t xml:space="preserve">% niskopodłogowego </t>
  </si>
  <si>
    <t>Projekty zrealizowane w POIS 7-13 - Prace Komisji Geografii Komunikacji PTG
2016, 19(1), 9-20</t>
  </si>
  <si>
    <t>2007-2013 - tabor - Prace Komisji Geografii Komunikacji PTG
2016, 19(1), 9-20</t>
  </si>
  <si>
    <t>ilość</t>
  </si>
  <si>
    <t>koszt jednostkowy w mln zł</t>
  </si>
  <si>
    <t>budowa/modernizacja</t>
  </si>
  <si>
    <t>tabor</t>
  </si>
  <si>
    <t>nowe systemy trawajowe</t>
  </si>
  <si>
    <t>Potrzeby finansowe - tramwaje</t>
  </si>
  <si>
    <t>systemy ITS</t>
  </si>
  <si>
    <t>robocze</t>
  </si>
  <si>
    <t>Drogi wojewódzkie</t>
  </si>
  <si>
    <t>PBDK - 09.2019</t>
  </si>
  <si>
    <t>PBDK - 2024-2030</t>
  </si>
  <si>
    <t>drogi krajowe ogółem  [km]</t>
  </si>
  <si>
    <t>wzmocnienia [mln zł]</t>
  </si>
  <si>
    <t>obwodnice [mln zł]</t>
  </si>
  <si>
    <t>remonty [mln zł]</t>
  </si>
  <si>
    <t>budżet państwa [tys. zł]</t>
  </si>
  <si>
    <t>KFD - załącznik 1 [tys. zł]</t>
  </si>
  <si>
    <t>KFD - załącznik 2 [tys. zł]</t>
  </si>
  <si>
    <t>razem [tys. zł]</t>
  </si>
  <si>
    <t>razem  [tys. zł]</t>
  </si>
  <si>
    <t>wydatki na utrzymanie  [tys. zł]</t>
  </si>
  <si>
    <t>wydatki na inwestycje  [tys. zł]</t>
  </si>
  <si>
    <t xml:space="preserve"> [tys. zł]</t>
  </si>
  <si>
    <t>wydatki na utrzymanie [tys. zł]</t>
  </si>
  <si>
    <t>wydatki na inwestycje [tys. zł]</t>
  </si>
  <si>
    <t>[tys. zł]</t>
  </si>
  <si>
    <t>szacowane potrzeby inwestycyjne - podział regionalny [mln zł]</t>
  </si>
  <si>
    <t>Szacunkowe potrzeby inwestycyjne [mln zł]</t>
  </si>
  <si>
    <t>Szacunek min [mln zł]</t>
  </si>
  <si>
    <t>Szacunek max [mln zł]</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</si>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</sst>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 #,##0.00_-;_-* &quot;-&quot;??_-;_-@_-"/>
    <numFmt numFmtId="164" formatCode="_-* #,##0_-;\-* #,##0_-;_-* &quot;-&quot;??_-;_-@_-"/>
    <numFmt numFmtId="165" formatCode="#,##0.0"/>
    <numFmt numFmtId="166" formatCode="_-* #,##0.00\ _z_ł_-;\-* #,##0.00\ _z_ł_-;_-* &quot;-&quot;??\ _z_ł_-;_-@_-"/>
    <numFmt numFmtId="167" formatCode="0.0%"/>
    <numFmt numFmtId="168" formatCode="0.000"/>
    <numFmt numFmtId="169" formatCode="#,##0;[Red]\(#,##0\);\-"/>
    <numFmt numFmtId="170" formatCode="_-* #,##0.0_-;\-* #,##0.0_-;_-* &quot;-&quot;??_-;_-@_-"/>
  </numFmts>
  <fonts count="17">
    <font>
      <sz val="11"/>
      <color theme="1"/>
      <name val="Calibri"/>
      <family val="2"/>
      <charset val="238"/>
      <scheme val="minor"/>
    </font>
    <font>
      <sz val="11"/>
      <color theme="1"/>
      <name val="Calibri"/>
      <family val="2"/>
      <charset val="238"/>
      <scheme val="minor"/>
    </font>
    <font>
      <b/>
      <sz val="11"/>
      <color theme="0"/>
      <name val="Calibri"/>
      <family val="2"/>
      <charset val="238"/>
      <scheme val="minor"/>
    </font>
    <font>
      <b/>
      <sz val="11"/>
      <color theme="1"/>
      <name val="Calibri"/>
      <family val="2"/>
      <charset val="238"/>
      <scheme val="minor"/>
    </font>
    <font>
      <vertAlign val="superscript"/>
      <sz val="11"/>
      <color theme="1"/>
      <name val="Calibri"/>
      <family val="2"/>
      <charset val="238"/>
      <scheme val="minor"/>
    </font>
    <font>
      <sz val="8"/>
      <name val="Calibri"/>
      <family val="2"/>
      <charset val="238"/>
      <scheme val="minor"/>
    </font>
    <font>
      <sz val="9"/>
      <color theme="1"/>
      <name val="Calibri"/>
      <family val="2"/>
      <charset val="238"/>
      <scheme val="minor"/>
    </font>
    <font>
      <sz val="11"/>
      <color rgb="FF000000"/>
      <name val="Calibri"/>
      <family val="2"/>
      <charset val="238"/>
    </font>
    <font>
      <sz val="10"/>
      <color theme="1"/>
      <name val="Arial"/>
      <family val="2"/>
      <charset val="238"/>
    </font>
    <font>
      <sz val="11"/>
      <name val="Calibri"/>
      <family val="2"/>
      <charset val="238"/>
    </font>
    <font>
      <sz val="10"/>
      <name val="Calibri"/>
      <family val="2"/>
    </font>
    <font>
      <sz val="8"/>
      <color theme="1"/>
      <name val="Calibri"/>
      <family val="2"/>
      <charset val="238"/>
      <scheme val="minor"/>
    </font>
    <font>
      <u/>
      <sz val="11"/>
      <color theme="10"/>
      <name val="Calibri"/>
      <family val="2"/>
      <charset val="238"/>
      <scheme val="minor"/>
    </font>
    <font>
      <sz val="10"/>
      <color theme="1"/>
      <name val="Times New Roman"/>
      <family val="1"/>
      <charset val="238"/>
    </font>
    <font>
      <sz val="8"/>
      <color theme="1"/>
      <name val="Calibri"/>
      <family val="2"/>
      <charset val="238"/>
    </font>
    <font>
      <b/>
      <sz val="9.5"/>
      <color theme="1"/>
      <name val="Fira Sans"/>
      <family val="2"/>
      <charset val="238"/>
    </font>
    <font>
      <b/>
      <sz val="11"/>
      <color theme="1"/>
      <name val="Calibri"/>
      <family val="2"/>
      <charset val="238"/>
    </font>
  </fonts>
  <fills count="9">
    <fill>
      <patternFill patternType="none"/>
    </fill>
    <fill>
      <patternFill patternType="gray125"/>
    </fill>
    <fill>
      <patternFill patternType="solid">
        <fgColor theme="4" tint="0.79998168889431442"/>
        <bgColor theme="4" tint="0.79998168889431442"/>
      </patternFill>
    </fill>
    <fill>
      <patternFill patternType="solid">
        <fgColor theme="4"/>
        <bgColor theme="4"/>
      </patternFill>
    </fill>
    <fill>
      <patternFill patternType="solid">
        <fgColor rgb="FFD3D3D3"/>
      </patternFill>
    </fill>
    <fill>
      <patternFill patternType="solid">
        <fgColor theme="6" tint="0.39994506668294322"/>
        <bgColor indexed="64"/>
      </patternFill>
    </fill>
    <fill>
      <patternFill patternType="solid">
        <fgColor theme="4" tint="0.79998168889431442"/>
        <bgColor indexed="64"/>
      </patternFill>
    </fill>
    <fill>
      <patternFill patternType="solid">
        <fgColor rgb="FFFFFFFF"/>
      </patternFill>
    </fill>
    <fill>
      <patternFill patternType="solid">
        <fgColor rgb="FFFFFFFF"/>
        <bgColor indexed="64"/>
      </patternFill>
    </fill>
  </fills>
  <borders count="21">
    <border>
      <left/>
      <right/>
      <top/>
      <bottom/>
      <diagonal/>
    </border>
    <border>
      <left style="thin">
        <color theme="4" tint="0.39997558519241921"/>
      </left>
      <right/>
      <top style="thin">
        <color theme="4" tint="0.39997558519241921"/>
      </top>
      <bottom style="thin">
        <color theme="4" tint="0.39997558519241921"/>
      </bottom>
      <diagonal/>
    </border>
    <border>
      <left/>
      <right/>
      <top style="thin">
        <color theme="4" tint="0.39997558519241921"/>
      </top>
      <bottom style="thin">
        <color theme="4" tint="0.39997558519241921"/>
      </bottom>
      <diagonal/>
    </border>
    <border>
      <left/>
      <right style="thin">
        <color theme="4" tint="0.39997558519241921"/>
      </right>
      <top style="thin">
        <color theme="4" tint="0.39997558519241921"/>
      </top>
      <bottom style="thin">
        <color theme="4" tint="0.39997558519241921"/>
      </bottom>
      <diagonal/>
    </border>
    <border>
      <left/>
      <right/>
      <top style="thin">
        <color theme="4" tint="0.39997558519241921"/>
      </top>
      <bottom/>
      <diagonal/>
    </border>
    <border>
      <left style="thin">
        <color theme="4" tint="0.39997558519241921"/>
      </left>
      <right/>
      <top/>
      <bottom style="thin">
        <color theme="4" tint="0.39997558519241921"/>
      </bottom>
      <diagonal/>
    </border>
    <border>
      <left/>
      <right/>
      <top/>
      <bottom style="thin">
        <color theme="4" tint="0.39997558519241921"/>
      </bottom>
      <diagonal/>
    </border>
    <border>
      <left/>
      <right style="thin">
        <color theme="4" tint="0.39997558519241921"/>
      </right>
      <top/>
      <bottom style="thin">
        <color theme="4" tint="0.39997558519241921"/>
      </bottom>
      <diagonal/>
    </border>
    <border>
      <left style="thin">
        <color rgb="FF000000"/>
      </left>
      <right style="thin">
        <color rgb="FF000000"/>
      </right>
      <top style="thin">
        <color rgb="FF000000"/>
      </top>
      <bottom style="thin">
        <color rgb="FF000000"/>
      </bottom>
      <diagonal/>
    </border>
    <border>
      <left style="medium">
        <color rgb="FFC0C0C0"/>
      </left>
      <right style="medium">
        <color rgb="FFC0C0C0"/>
      </right>
      <top style="medium">
        <color rgb="FFC0C0C0"/>
      </top>
      <bottom style="medium">
        <color rgb="FFC0C0C0"/>
      </bottom>
      <diagonal/>
    </border>
    <border>
      <left style="medium">
        <color rgb="FFC0C0C0"/>
      </left>
      <right style="medium">
        <color rgb="FFC0C0C0"/>
      </right>
      <top/>
      <bottom style="medium">
        <color rgb="FFC0C0C0"/>
      </bottom>
      <diagonal/>
    </border>
    <border>
      <left/>
      <right style="medium">
        <color rgb="FFC0C0C0"/>
      </right>
      <top style="medium">
        <color rgb="FFC0C0C0"/>
      </top>
      <bottom style="medium">
        <color rgb="FFC0C0C0"/>
      </bottom>
      <diagonal/>
    </border>
    <border>
      <left/>
      <right style="medium">
        <color rgb="FFC0C0C0"/>
      </right>
      <top/>
      <bottom style="medium">
        <color rgb="FFC0C0C0"/>
      </bottom>
      <diagonal/>
    </border>
    <border>
      <left style="medium">
        <color rgb="FFC0C0C0"/>
      </left>
      <right style="medium">
        <color rgb="FFC0C0C0"/>
      </right>
      <top/>
      <bottom/>
      <diagonal/>
    </border>
    <border>
      <left/>
      <right style="medium">
        <color rgb="FFC0C0C0"/>
      </right>
      <top/>
      <bottom/>
      <diagonal/>
    </border>
    <border>
      <left style="thin">
        <color rgb="FF000000"/>
      </left>
      <right style="thin">
        <color rgb="FF000000"/>
      </right>
      <top/>
      <bottom style="thin">
        <color rgb="FF000000"/>
      </bottom>
      <diagonal/>
    </border>
    <border>
      <left style="thin">
        <color theme="0"/>
      </left>
      <right style="thin">
        <color theme="0"/>
      </right>
      <top style="thin">
        <color theme="0"/>
      </top>
      <bottom style="thin">
        <color theme="0"/>
      </bottom>
      <diagonal/>
    </border>
    <border>
      <left style="thin">
        <color theme="4"/>
      </left>
      <right style="thin">
        <color theme="4"/>
      </right>
      <top style="thin">
        <color theme="4"/>
      </top>
      <bottom style="thin">
        <color theme="4"/>
      </bottom>
      <diagonal/>
    </border>
    <border>
      <left style="thin">
        <color theme="4" tint="0.39997558519241921"/>
      </left>
      <right/>
      <top style="thin">
        <color theme="4" tint="0.39997558519241921"/>
      </top>
      <bottom/>
      <diagonal/>
    </border>
    <border>
      <left style="thin">
        <color rgb="FF979991"/>
      </left>
      <right/>
      <top style="thin">
        <color rgb="FF979991"/>
      </top>
      <bottom style="thin">
        <color rgb="FF979991"/>
      </bottom>
      <diagonal/>
    </border>
    <border>
      <left style="thin">
        <color rgb="FF979991"/>
      </left>
      <right/>
      <top/>
      <bottom/>
      <diagonal/>
    </border>
  </borders>
  <cellStyleXfs count="11">
    <xf numFmtId="0" fontId="0" fillId="0" borderId="0"/>
    <xf numFmtId="43" fontId="1" fillId="0" borderId="0" applyFont="0" applyFill="0" applyBorder="0" applyAlignment="0" applyProtection="0"/>
    <xf numFmtId="9" fontId="1" fillId="0" borderId="0" applyFont="0" applyFill="0" applyBorder="0" applyAlignment="0" applyProtection="0"/>
    <xf numFmtId="0" fontId="7" fillId="4" borderId="8">
      <alignment horizontal="left" vertical="center" wrapText="1"/>
    </xf>
    <xf numFmtId="0" fontId="9" fillId="0" borderId="0"/>
    <xf numFmtId="43" fontId="9" fillId="0" borderId="0" applyFont="0" applyFill="0" applyBorder="0" applyAlignment="0" applyProtection="0"/>
    <xf numFmtId="9" fontId="9" fillId="0" borderId="0" applyFont="0" applyFill="0" applyBorder="0" applyAlignment="0" applyProtection="0"/>
    <xf numFmtId="0" fontId="10" fillId="5" borderId="16">
      <alignment vertical="center"/>
    </xf>
    <xf numFmtId="0" fontId="10" fillId="6" borderId="16">
      <alignment vertical="center"/>
    </xf>
    <xf numFmtId="169" fontId="10" fillId="0" borderId="17">
      <alignment vertical="center"/>
    </xf>
    <xf numFmtId="0" fontId="12" fillId="0" borderId="0" applyNumberFormat="0" applyFill="0" applyBorder="0" applyAlignment="0" applyProtection="0"/>
  </cellStyleXfs>
  <cellXfs count="141">
    <xf numFmtId="0" fontId="0" fillId="0" borderId="0" xfId="0"/>
    <xf numFmtId="0" fontId="0" fillId="0" borderId="0" xfId="0" applyAlignment="1">
      <alignment wrapText="1"/>
    </xf>
    <xf numFmtId="164" fontId="0" fillId="0" borderId="0" xfId="1" applyNumberFormat="1" applyFont="1"/>
    <xf numFmtId="0" fontId="0" fillId="2" borderId="1" xfId="0" applyFont="1" applyFill="1" applyBorder="1"/>
    <xf numFmtId="0" fontId="0" fillId="2" borderId="2" xfId="0" applyFont="1" applyFill="1" applyBorder="1"/>
    <xf numFmtId="0" fontId="0" fillId="0" borderId="1" xfId="0" applyFont="1" applyBorder="1"/>
    <xf numFmtId="0" fontId="0" fillId="0" borderId="2" xfId="0" applyFont="1" applyBorder="1"/>
    <xf numFmtId="0" fontId="2" fillId="3" borderId="2" xfId="0" applyFont="1" applyFill="1" applyBorder="1"/>
    <xf numFmtId="0" fontId="2" fillId="3" borderId="3" xfId="0" applyFont="1" applyFill="1" applyBorder="1"/>
    <xf numFmtId="0" fontId="0" fillId="0" borderId="0" xfId="0" applyAlignment="1">
      <alignment horizontal="center" vertical="center"/>
    </xf>
    <xf numFmtId="0" fontId="2" fillId="3" borderId="1" xfId="0" applyFont="1" applyFill="1" applyBorder="1"/>
    <xf numFmtId="0" fontId="0" fillId="0" borderId="0" xfId="0" applyAlignment="1">
      <alignment horizontal="center"/>
    </xf>
    <xf numFmtId="43" fontId="0" fillId="0" borderId="0" xfId="1" applyFont="1"/>
    <xf numFmtId="43" fontId="0" fillId="0" borderId="0" xfId="0" applyNumberFormat="1"/>
    <xf numFmtId="165" fontId="0" fillId="0" borderId="0" xfId="0" applyNumberFormat="1"/>
    <xf numFmtId="164" fontId="0" fillId="0" borderId="0" xfId="0" applyNumberFormat="1"/>
    <xf numFmtId="0" fontId="0" fillId="0" borderId="0" xfId="0" applyBorder="1"/>
    <xf numFmtId="0" fontId="0" fillId="2" borderId="4" xfId="0" applyFont="1" applyFill="1" applyBorder="1"/>
    <xf numFmtId="165" fontId="0" fillId="0" borderId="0" xfId="0" applyNumberFormat="1" applyBorder="1"/>
    <xf numFmtId="165" fontId="0" fillId="2" borderId="3" xfId="0" applyNumberFormat="1" applyFont="1" applyFill="1" applyBorder="1"/>
    <xf numFmtId="165" fontId="0" fillId="0" borderId="3" xfId="0" applyNumberFormat="1" applyFont="1" applyBorder="1"/>
    <xf numFmtId="0" fontId="0" fillId="0" borderId="1" xfId="0" applyFont="1" applyBorder="1" applyAlignment="1">
      <alignment wrapText="1"/>
    </xf>
    <xf numFmtId="0" fontId="0" fillId="2" borderId="1" xfId="0" applyFont="1" applyFill="1" applyBorder="1" applyAlignment="1">
      <alignment wrapText="1"/>
    </xf>
    <xf numFmtId="0" fontId="2" fillId="3" borderId="5" xfId="0" applyFont="1" applyFill="1" applyBorder="1"/>
    <xf numFmtId="0" fontId="2" fillId="3" borderId="6" xfId="0" applyFont="1" applyFill="1" applyBorder="1"/>
    <xf numFmtId="0" fontId="2" fillId="3" borderId="7" xfId="0" applyFont="1" applyFill="1" applyBorder="1"/>
    <xf numFmtId="43" fontId="0" fillId="0" borderId="0" xfId="1" applyNumberFormat="1" applyFont="1"/>
    <xf numFmtId="166" fontId="0" fillId="0" borderId="0" xfId="0" applyNumberFormat="1"/>
    <xf numFmtId="4" fontId="0" fillId="2" borderId="3" xfId="0" applyNumberFormat="1" applyFont="1" applyFill="1" applyBorder="1"/>
    <xf numFmtId="1" fontId="0" fillId="0" borderId="0" xfId="0" applyNumberFormat="1"/>
    <xf numFmtId="9" fontId="0" fillId="0" borderId="0" xfId="0" applyNumberFormat="1"/>
    <xf numFmtId="167" fontId="0" fillId="0" borderId="0" xfId="0" applyNumberFormat="1"/>
    <xf numFmtId="9" fontId="0" fillId="0" borderId="0" xfId="2" applyFont="1"/>
    <xf numFmtId="0" fontId="0" fillId="0" borderId="0" xfId="0" applyAlignment="1">
      <alignment horizontal="right" wrapText="1"/>
    </xf>
    <xf numFmtId="0" fontId="6" fillId="0" borderId="0" xfId="0" applyFont="1" applyAlignment="1">
      <alignment vertical="center"/>
    </xf>
    <xf numFmtId="10" fontId="0" fillId="0" borderId="0" xfId="2" applyNumberFormat="1" applyFont="1"/>
    <xf numFmtId="2" fontId="0" fillId="0" borderId="0" xfId="0" applyNumberFormat="1"/>
    <xf numFmtId="3" fontId="6" fillId="0" borderId="0" xfId="0" applyNumberFormat="1" applyFont="1" applyAlignment="1">
      <alignment horizontal="right" vertical="center" wrapText="1"/>
    </xf>
    <xf numFmtId="0" fontId="7" fillId="4" borderId="8" xfId="3">
      <alignment horizontal="left" vertical="center" wrapText="1"/>
    </xf>
    <xf numFmtId="0" fontId="3" fillId="0" borderId="0" xfId="0" applyFont="1"/>
    <xf numFmtId="9" fontId="0" fillId="0" borderId="0" xfId="2" applyFont="1" applyAlignment="1">
      <alignment horizontal="right"/>
    </xf>
    <xf numFmtId="3" fontId="0" fillId="0" borderId="0" xfId="0" applyNumberFormat="1"/>
    <xf numFmtId="164" fontId="7" fillId="0" borderId="0" xfId="1" applyNumberFormat="1" applyFont="1" applyAlignment="1">
      <alignment horizontal="right" vertical="center"/>
    </xf>
    <xf numFmtId="164" fontId="7" fillId="0" borderId="0" xfId="1" applyNumberFormat="1" applyFont="1" applyAlignment="1">
      <alignment horizontal="center"/>
    </xf>
    <xf numFmtId="164" fontId="7" fillId="0" borderId="0" xfId="1" applyNumberFormat="1" applyFont="1" applyAlignment="1">
      <alignment vertical="center"/>
    </xf>
    <xf numFmtId="0" fontId="0" fillId="0" borderId="0" xfId="0" applyAlignment="1">
      <alignment horizontal="left" wrapText="1"/>
    </xf>
    <xf numFmtId="0" fontId="0" fillId="0" borderId="0" xfId="0" applyAlignment="1">
      <alignment vertical="center"/>
    </xf>
    <xf numFmtId="0" fontId="8" fillId="0" borderId="9" xfId="0" applyFont="1" applyBorder="1" applyAlignment="1">
      <alignment horizontal="justify" vertical="center" wrapText="1"/>
    </xf>
    <xf numFmtId="0" fontId="8" fillId="0" borderId="10" xfId="0" applyFont="1" applyBorder="1" applyAlignment="1">
      <alignment horizontal="justify" vertical="center" wrapText="1"/>
    </xf>
    <xf numFmtId="0" fontId="8" fillId="0" borderId="11" xfId="0" applyFont="1" applyBorder="1" applyAlignment="1">
      <alignment horizontal="justify" vertical="center"/>
    </xf>
    <xf numFmtId="0" fontId="8" fillId="0" borderId="13" xfId="0" applyFont="1" applyBorder="1" applyAlignment="1">
      <alignment horizontal="justify" vertical="center" wrapText="1"/>
    </xf>
    <xf numFmtId="4" fontId="0" fillId="0" borderId="0" xfId="0" applyNumberFormat="1"/>
    <xf numFmtId="0" fontId="0" fillId="0" borderId="0" xfId="0" applyFont="1" applyAlignment="1">
      <alignment vertical="center"/>
    </xf>
    <xf numFmtId="43" fontId="8" fillId="0" borderId="12" xfId="1" applyNumberFormat="1" applyFont="1" applyBorder="1" applyAlignment="1">
      <alignment horizontal="justify" vertical="center"/>
    </xf>
    <xf numFmtId="43" fontId="8" fillId="0" borderId="10" xfId="1" applyNumberFormat="1" applyFont="1" applyBorder="1" applyAlignment="1">
      <alignment horizontal="justify" vertical="center" wrapText="1"/>
    </xf>
    <xf numFmtId="43" fontId="8" fillId="0" borderId="14" xfId="1" applyNumberFormat="1" applyFont="1" applyBorder="1" applyAlignment="1">
      <alignment horizontal="justify" vertical="center"/>
    </xf>
    <xf numFmtId="43" fontId="0" fillId="0" borderId="0" xfId="1" applyNumberFormat="1" applyFont="1" applyBorder="1"/>
    <xf numFmtId="0" fontId="9" fillId="0" borderId="0" xfId="4"/>
    <xf numFmtId="165" fontId="9" fillId="0" borderId="0" xfId="4" applyNumberFormat="1"/>
    <xf numFmtId="0" fontId="7" fillId="4" borderId="15" xfId="3" applyBorder="1">
      <alignment horizontal="left" vertical="center" wrapText="1"/>
    </xf>
    <xf numFmtId="0" fontId="7" fillId="4" borderId="15" xfId="3" applyBorder="1" applyAlignment="1">
      <alignment vertical="center" wrapText="1"/>
    </xf>
    <xf numFmtId="0" fontId="7" fillId="4" borderId="8" xfId="3" applyAlignment="1">
      <alignment vertical="center" wrapText="1"/>
    </xf>
    <xf numFmtId="9" fontId="9" fillId="0" borderId="0" xfId="4" applyNumberFormat="1"/>
    <xf numFmtId="0" fontId="9" fillId="0" borderId="0" xfId="4" applyAlignment="1">
      <alignment wrapText="1"/>
    </xf>
    <xf numFmtId="164" fontId="0" fillId="0" borderId="0" xfId="5" applyNumberFormat="1" applyFont="1"/>
    <xf numFmtId="164" fontId="9" fillId="0" borderId="0" xfId="4" applyNumberFormat="1"/>
    <xf numFmtId="0" fontId="9" fillId="0" borderId="0" xfId="4" applyFill="1"/>
    <xf numFmtId="0" fontId="9" fillId="0" borderId="0" xfId="4" applyFill="1" applyAlignment="1">
      <alignment wrapText="1"/>
    </xf>
    <xf numFmtId="9" fontId="9" fillId="0" borderId="0" xfId="2" applyFont="1"/>
    <xf numFmtId="43" fontId="9" fillId="0" borderId="0" xfId="1" applyFont="1"/>
    <xf numFmtId="164" fontId="9" fillId="0" borderId="0" xfId="1" applyNumberFormat="1" applyFont="1"/>
    <xf numFmtId="164" fontId="9" fillId="0" borderId="0" xfId="1" applyNumberFormat="1" applyFont="1" applyAlignment="1">
      <alignment wrapText="1"/>
    </xf>
    <xf numFmtId="0" fontId="9" fillId="0" borderId="0" xfId="4" applyFont="1" applyAlignment="1">
      <alignment wrapText="1"/>
    </xf>
    <xf numFmtId="0" fontId="9" fillId="0" borderId="0" xfId="4" applyFont="1"/>
    <xf numFmtId="168" fontId="9" fillId="0" borderId="0" xfId="4" applyNumberFormat="1" applyFill="1"/>
    <xf numFmtId="9" fontId="0" fillId="0" borderId="0" xfId="6" applyFont="1"/>
    <xf numFmtId="164" fontId="0" fillId="0" borderId="0" xfId="0" applyNumberFormat="1" applyAlignment="1">
      <alignment wrapText="1"/>
    </xf>
    <xf numFmtId="164" fontId="0" fillId="0" borderId="0" xfId="1" applyNumberFormat="1" applyFont="1" applyAlignment="1">
      <alignment wrapText="1"/>
    </xf>
    <xf numFmtId="167" fontId="0" fillId="0" borderId="0" xfId="2" applyNumberFormat="1" applyFont="1"/>
    <xf numFmtId="0" fontId="3" fillId="0" borderId="0" xfId="0" applyFont="1" applyAlignment="1">
      <alignment wrapText="1"/>
    </xf>
    <xf numFmtId="164" fontId="3" fillId="0" borderId="0" xfId="0" applyNumberFormat="1" applyFont="1"/>
    <xf numFmtId="0" fontId="0" fillId="0" borderId="0" xfId="0" applyFont="1" applyFill="1" applyBorder="1"/>
    <xf numFmtId="0" fontId="11" fillId="0" borderId="0" xfId="0" applyFont="1"/>
    <xf numFmtId="0" fontId="11" fillId="0" borderId="0" xfId="0" applyFont="1" applyAlignment="1">
      <alignment vertical="center"/>
    </xf>
    <xf numFmtId="0" fontId="11" fillId="0" borderId="0" xfId="0" applyFont="1" applyAlignment="1">
      <alignment vertical="center" wrapText="1"/>
    </xf>
    <xf numFmtId="10" fontId="0" fillId="0" borderId="0" xfId="0" applyNumberFormat="1"/>
    <xf numFmtId="0" fontId="11" fillId="0" borderId="1" xfId="0" applyFont="1" applyBorder="1" applyAlignment="1">
      <alignment vertical="center"/>
    </xf>
    <xf numFmtId="43" fontId="11" fillId="0" borderId="1" xfId="1" applyFont="1" applyBorder="1" applyAlignment="1">
      <alignment vertical="center"/>
    </xf>
    <xf numFmtId="0" fontId="11" fillId="0" borderId="2" xfId="0" applyFont="1" applyBorder="1" applyAlignment="1">
      <alignment vertical="center" wrapText="1"/>
    </xf>
    <xf numFmtId="0" fontId="11" fillId="0" borderId="2" xfId="0" applyFont="1" applyBorder="1" applyAlignment="1">
      <alignment vertical="center"/>
    </xf>
    <xf numFmtId="0" fontId="11" fillId="0" borderId="6" xfId="0" applyFont="1" applyBorder="1" applyAlignment="1">
      <alignment vertical="center" wrapText="1"/>
    </xf>
    <xf numFmtId="0" fontId="11" fillId="0" borderId="5" xfId="0" applyFont="1" applyBorder="1" applyAlignment="1">
      <alignment vertical="center"/>
    </xf>
    <xf numFmtId="0" fontId="11" fillId="0" borderId="4" xfId="0" applyFont="1" applyBorder="1" applyAlignment="1">
      <alignment vertical="center"/>
    </xf>
    <xf numFmtId="43" fontId="11" fillId="0" borderId="18" xfId="1" applyFont="1" applyBorder="1" applyAlignment="1">
      <alignment vertical="center"/>
    </xf>
    <xf numFmtId="0" fontId="0" fillId="0" borderId="0" xfId="1" applyNumberFormat="1" applyFont="1" applyAlignment="1">
      <alignment horizontal="left"/>
    </xf>
    <xf numFmtId="0" fontId="0" fillId="0" borderId="0" xfId="0" applyNumberFormat="1" applyAlignment="1">
      <alignment horizontal="left"/>
    </xf>
    <xf numFmtId="0" fontId="0" fillId="0" borderId="0" xfId="1" applyNumberFormat="1" applyFont="1" applyAlignment="1">
      <alignment horizontal="left" wrapText="1"/>
    </xf>
    <xf numFmtId="0" fontId="12" fillId="0" borderId="0" xfId="10" applyAlignment="1">
      <alignment wrapText="1"/>
    </xf>
    <xf numFmtId="0" fontId="2" fillId="3" borderId="3" xfId="0" applyFont="1" applyFill="1" applyBorder="1" applyAlignment="1">
      <alignment wrapText="1"/>
    </xf>
    <xf numFmtId="0" fontId="2" fillId="3" borderId="0" xfId="0" applyFont="1" applyFill="1" applyBorder="1"/>
    <xf numFmtId="0" fontId="12" fillId="0" borderId="0" xfId="10"/>
    <xf numFmtId="0" fontId="12" fillId="0" borderId="0" xfId="10" applyFill="1" applyBorder="1" applyAlignment="1">
      <alignment wrapText="1"/>
    </xf>
    <xf numFmtId="0" fontId="6" fillId="0" borderId="0" xfId="0" applyFont="1" applyAlignment="1">
      <alignment horizontal="center" vertical="center" wrapText="1"/>
    </xf>
    <xf numFmtId="0" fontId="0" fillId="0" borderId="0" xfId="0" applyBorder="1" applyAlignment="1">
      <alignment vertical="center" wrapText="1"/>
    </xf>
    <xf numFmtId="3" fontId="0" fillId="0" borderId="0" xfId="0" applyNumberFormat="1" applyBorder="1" applyAlignment="1">
      <alignment horizontal="right" vertical="center" wrapText="1"/>
    </xf>
    <xf numFmtId="0" fontId="0" fillId="0" borderId="0" xfId="0" applyBorder="1" applyAlignment="1">
      <alignment horizontal="right" vertical="center" wrapText="1"/>
    </xf>
    <xf numFmtId="0" fontId="0" fillId="0" borderId="0" xfId="0" applyAlignment="1">
      <alignment vertical="center" wrapText="1"/>
    </xf>
    <xf numFmtId="3" fontId="0" fillId="0" borderId="0" xfId="0" applyNumberFormat="1" applyAlignment="1">
      <alignment horizontal="right" vertical="center" wrapText="1"/>
    </xf>
    <xf numFmtId="164" fontId="0" fillId="0" borderId="0" xfId="0" applyNumberFormat="1" applyFont="1"/>
    <xf numFmtId="3" fontId="0" fillId="0" borderId="0" xfId="0" applyNumberFormat="1" applyBorder="1" applyAlignment="1">
      <alignment vertical="center" wrapText="1"/>
    </xf>
    <xf numFmtId="9" fontId="0" fillId="0" borderId="0" xfId="0" applyNumberFormat="1" applyBorder="1" applyAlignment="1">
      <alignment vertical="center" wrapText="1"/>
    </xf>
    <xf numFmtId="10" fontId="0" fillId="0" borderId="0" xfId="0" applyNumberFormat="1" applyBorder="1" applyAlignment="1">
      <alignment vertical="center" wrapText="1"/>
    </xf>
    <xf numFmtId="0" fontId="0" fillId="0" borderId="0" xfId="0" applyAlignment="1">
      <alignment horizontal="justify" vertical="center"/>
    </xf>
    <xf numFmtId="0" fontId="3" fillId="0" borderId="0" xfId="0" applyFont="1" applyAlignment="1">
      <alignment horizontal="justify" vertical="center"/>
    </xf>
    <xf numFmtId="0" fontId="3" fillId="0" borderId="0" xfId="0" applyFont="1" applyAlignment="1">
      <alignment horizontal="right"/>
    </xf>
    <xf numFmtId="0" fontId="0" fillId="0" borderId="0" xfId="0" applyAlignment="1">
      <alignment horizontal="center" vertical="center" wrapText="1"/>
    </xf>
    <xf numFmtId="0" fontId="14" fillId="7" borderId="19" xfId="0" applyFont="1" applyFill="1" applyBorder="1" applyAlignment="1">
      <alignment horizontal="center" vertical="top" wrapText="1"/>
    </xf>
    <xf numFmtId="4" fontId="14" fillId="7" borderId="19" xfId="0" applyNumberFormat="1" applyFont="1" applyFill="1" applyBorder="1" applyAlignment="1">
      <alignment horizontal="right" vertical="top" wrapText="1"/>
    </xf>
    <xf numFmtId="0" fontId="0" fillId="0" borderId="0" xfId="0" applyBorder="1" applyAlignment="1">
      <alignment wrapText="1"/>
    </xf>
    <xf numFmtId="0" fontId="13" fillId="0" borderId="0" xfId="0" applyFont="1" applyBorder="1" applyAlignment="1">
      <alignment horizontal="left" vertical="center" wrapText="1"/>
    </xf>
    <xf numFmtId="4" fontId="13" fillId="0" borderId="0" xfId="0" applyNumberFormat="1" applyFont="1" applyBorder="1" applyAlignment="1">
      <alignment horizontal="right" vertical="center" wrapText="1"/>
    </xf>
    <xf numFmtId="0" fontId="14" fillId="7" borderId="0" xfId="0" applyFont="1" applyFill="1" applyBorder="1" applyAlignment="1">
      <alignment horizontal="center" vertical="top" wrapText="1"/>
    </xf>
    <xf numFmtId="4" fontId="14" fillId="7" borderId="0" xfId="0" applyNumberFormat="1" applyFont="1" applyFill="1" applyBorder="1" applyAlignment="1">
      <alignment horizontal="right" vertical="top" wrapText="1"/>
    </xf>
    <xf numFmtId="4" fontId="0" fillId="0" borderId="0" xfId="0" applyNumberFormat="1" applyBorder="1"/>
    <xf numFmtId="0" fontId="14" fillId="8" borderId="0" xfId="0" applyFont="1" applyFill="1" applyAlignment="1">
      <alignment horizontal="center" vertical="top" wrapText="1"/>
    </xf>
    <xf numFmtId="4" fontId="14" fillId="8" borderId="0" xfId="0" applyNumberFormat="1" applyFont="1" applyFill="1" applyAlignment="1">
      <alignment horizontal="right" vertical="top" wrapText="1"/>
    </xf>
    <xf numFmtId="0" fontId="0" fillId="0" borderId="0" xfId="0" applyFont="1" applyBorder="1" applyAlignment="1">
      <alignment wrapText="1"/>
    </xf>
    <xf numFmtId="43" fontId="0" fillId="0" borderId="0" xfId="1" applyNumberFormat="1" applyFont="1" applyAlignment="1">
      <alignment wrapText="1"/>
    </xf>
    <xf numFmtId="0" fontId="0" fillId="0" borderId="0" xfId="0" applyFont="1" applyAlignment="1">
      <alignment vertical="top"/>
    </xf>
    <xf numFmtId="0" fontId="0" fillId="0" borderId="0" xfId="0" applyFont="1" applyAlignment="1">
      <alignment vertical="center" wrapText="1"/>
    </xf>
    <xf numFmtId="0" fontId="14" fillId="7" borderId="20" xfId="0" applyFont="1" applyFill="1" applyBorder="1" applyAlignment="1">
      <alignment horizontal="center" vertical="top" wrapText="1"/>
    </xf>
    <xf numFmtId="0" fontId="15" fillId="0" borderId="0" xfId="0" applyFont="1"/>
    <xf numFmtId="0" fontId="15" fillId="0" borderId="0" xfId="0" applyFont="1" applyAlignment="1">
      <alignment horizontal="center"/>
    </xf>
    <xf numFmtId="0" fontId="15" fillId="0" borderId="0" xfId="0" applyFont="1" applyAlignment="1">
      <alignment wrapText="1"/>
    </xf>
    <xf numFmtId="164" fontId="16" fillId="0" borderId="0" xfId="1" applyNumberFormat="1" applyFont="1" applyFill="1" applyBorder="1"/>
    <xf numFmtId="164" fontId="16" fillId="0" borderId="0" xfId="1" applyNumberFormat="1" applyFont="1" applyFill="1"/>
    <xf numFmtId="0" fontId="10" fillId="6" borderId="16" xfId="8">
      <alignment vertical="center"/>
    </xf>
    <xf numFmtId="170" fontId="3" fillId="0" borderId="0" xfId="0" applyNumberFormat="1" applyFont="1"/>
    <xf numFmtId="0" fontId="0" fillId="0" borderId="0" xfId="0" applyAlignment="1">
      <alignment horizontal="left"/>
    </xf>
    <xf numFmtId="43" fontId="0" fillId="0" borderId="0" xfId="1" applyFont="1" applyAlignment="1">
      <alignment horizontal="left" wrapText="1"/>
    </xf>
    <xf numFmtId="43" fontId="0" fillId="0" borderId="0" xfId="1" applyFont="1" applyAlignment="1">
      <alignment horizontal="left"/>
    </xf>
  </cellXfs>
  <cellStyles count="11">
    <cellStyle name="B2.text" xfId="8" xr:uid="{E2C4362A-C5D0-412F-B272-F1448A3C4831}"/>
    <cellStyle name="B4.textgrid" xfId="7" xr:uid="{85C3498A-4680-4B72-A170-96888AA88E48}"/>
    <cellStyle name="C1.general" xfId="9" xr:uid="{0EB9E013-3B51-41B2-9B64-981C78D6B949}"/>
    <cellStyle name="Dziesiętny" xfId="1" builtinId="3"/>
    <cellStyle name="Dziesiętny 2" xfId="5" xr:uid="{BE74AF9D-B4FC-4ED5-B465-5C30B0E5F035}"/>
    <cellStyle name="Hiperłącze" xfId="10" builtinId="8"/>
    <cellStyle name="Kolumna" xfId="3" xr:uid="{1B08214D-3CAD-4427-BDA7-D0E0FCB49CE4}"/>
    <cellStyle name="Normalny" xfId="0" builtinId="0"/>
    <cellStyle name="Normalny 5" xfId="4" xr:uid="{5D9AE673-9B53-4A49-9CE0-040DD4FF8A27}"/>
    <cellStyle name="Procentowy" xfId="2" builtinId="5"/>
    <cellStyle name="Procentowy 2" xfId="6" xr:uid="{25D0A198-BF89-49D4-A2D1-320EC2ED5631}"/>
  </cellStyles>
  <dxfs count="239">
    <dxf>
      <numFmt numFmtId="165" formatCode="#,##0.0"/>
    </dxf>
    <dxf>
      <font>
        <b val="0"/>
        <i val="0"/>
        <strike val="0"/>
        <condense val="0"/>
        <extend val="0"/>
        <outline val="0"/>
        <shadow val="0"/>
        <u val="none"/>
        <vertAlign val="baseline"/>
        <sz val="11"/>
        <color theme="1"/>
        <name val="Calibri"/>
        <family val="2"/>
        <charset val="238"/>
        <scheme val="minor"/>
      </font>
    </dxf>
    <dxf>
      <numFmt numFmtId="164" formatCode="_-* #,##0_-;\-* #,##0_-;_-* &quot;-&quot;??_-;_-@_-"/>
    </dxf>
    <dxf>
      <numFmt numFmtId="164" formatCode="_-* #,##0_-;\-* #,##0_-;_-* &quot;-&quot;??_-;_-@_-"/>
    </dxf>
    <dxf>
      <numFmt numFmtId="164" formatCode="_-* #,##0_-;\-* #,##0_-;_-* &quot;-&quot;??_-;_-@_-"/>
    </dxf>
    <dxf>
      <font>
        <b/>
        <i val="0"/>
        <strike val="0"/>
        <condense val="0"/>
        <extend val="0"/>
        <outline val="0"/>
        <shadow val="0"/>
        <u val="none"/>
        <vertAlign val="baseline"/>
        <sz val="11"/>
        <color theme="1"/>
        <name val="Calibri"/>
        <family val="2"/>
        <charset val="238"/>
        <scheme val="none"/>
      </font>
      <numFmt numFmtId="164" formatCode="_-* #,##0_-;\-* #,##0_-;_-* &quot;-&quot;??_-;_-@_-"/>
      <fill>
        <patternFill patternType="none">
          <fgColor indexed="64"/>
          <bgColor indexed="65"/>
        </patternFill>
      </fill>
    </dxf>
    <dxf>
      <font>
        <b/>
        <i val="0"/>
        <strike val="0"/>
        <condense val="0"/>
        <extend val="0"/>
        <outline val="0"/>
        <shadow val="0"/>
        <u val="none"/>
        <vertAlign val="baseline"/>
        <sz val="11"/>
        <color theme="1"/>
        <name val="Calibri"/>
        <family val="2"/>
        <charset val="238"/>
        <scheme val="none"/>
      </font>
      <numFmt numFmtId="164" formatCode="_-* #,##0_-;\-* #,##0_-;_-* &quot;-&quot;??_-;_-@_-"/>
      <fill>
        <patternFill patternType="none">
          <fgColor indexed="64"/>
          <bgColor indexed="65"/>
        </patternFill>
      </fill>
    </dxf>
    <dxf>
      <alignment horizontal="general" vertical="bottom" textRotation="0" wrapText="1" indent="0" justifyLastLine="0" shrinkToFit="0" readingOrder="0"/>
    </dxf>
    <dxf>
      <font>
        <b val="0"/>
        <i val="0"/>
        <strike val="0"/>
        <condense val="0"/>
        <extend val="0"/>
        <outline val="0"/>
        <shadow val="0"/>
        <u val="none"/>
        <vertAlign val="baseline"/>
        <sz val="9.5"/>
        <color theme="1"/>
        <name val="Fira Sans"/>
        <family val="2"/>
        <charset val="238"/>
        <scheme val="none"/>
      </font>
    </dxf>
    <dxf>
      <font>
        <b val="0"/>
        <i val="0"/>
        <strike val="0"/>
        <condense val="0"/>
        <extend val="0"/>
        <outline val="0"/>
        <shadow val="0"/>
        <u val="none"/>
        <vertAlign val="baseline"/>
        <sz val="9.5"/>
        <color theme="1"/>
        <name val="Fira Sans"/>
        <family val="2"/>
        <charset val="238"/>
        <scheme val="none"/>
      </font>
    </dxf>
    <dxf>
      <font>
        <b val="0"/>
        <i val="0"/>
        <strike val="0"/>
        <condense val="0"/>
        <extend val="0"/>
        <outline val="0"/>
        <shadow val="0"/>
        <u val="none"/>
        <vertAlign val="baseline"/>
        <sz val="9.5"/>
        <color theme="1"/>
        <name val="Fira Sans"/>
        <family val="2"/>
        <charset val="238"/>
        <scheme val="none"/>
      </font>
    </dxf>
    <dxf>
      <font>
        <b val="0"/>
        <i val="0"/>
        <strike val="0"/>
        <condense val="0"/>
        <extend val="0"/>
        <outline val="0"/>
        <shadow val="0"/>
        <u val="none"/>
        <vertAlign val="baseline"/>
        <sz val="8"/>
        <color theme="1"/>
        <name val="Calibri"/>
        <family val="2"/>
        <charset val="238"/>
        <scheme val="none"/>
      </font>
      <numFmt numFmtId="4" formatCode="#,##0.00"/>
      <fill>
        <patternFill patternType="solid">
          <fgColor indexed="64"/>
          <bgColor rgb="FFFFFFFF"/>
        </patternFill>
      </fill>
      <alignment horizontal="right" vertical="top" textRotation="0" wrapText="1" indent="0" justifyLastLine="0" shrinkToFit="0" readingOrder="0"/>
      <border diagonalUp="0" diagonalDown="0">
        <left style="thin">
          <color rgb="FF979991"/>
        </left>
        <right/>
        <top style="thin">
          <color rgb="FF979991"/>
        </top>
        <bottom style="thin">
          <color rgb="FF979991"/>
        </bottom>
        <vertical/>
        <horizontal/>
      </border>
    </dxf>
    <dxf>
      <font>
        <b val="0"/>
        <i val="0"/>
        <strike val="0"/>
        <condense val="0"/>
        <extend val="0"/>
        <outline val="0"/>
        <shadow val="0"/>
        <u val="none"/>
        <vertAlign val="baseline"/>
        <sz val="8"/>
        <color theme="1"/>
        <name val="Calibri"/>
        <family val="2"/>
        <charset val="238"/>
        <scheme val="none"/>
      </font>
      <fill>
        <patternFill patternType="solid">
          <fgColor indexed="64"/>
          <bgColor rgb="FFFFFFFF"/>
        </patternFill>
      </fill>
      <alignment horizontal="center" vertical="top" textRotation="0" wrapText="1" indent="0" justifyLastLine="0" shrinkToFit="0" readingOrder="0"/>
      <border diagonalUp="0" diagonalDown="0">
        <left style="thin">
          <color rgb="FF979991"/>
        </left>
        <right/>
        <top style="thin">
          <color rgb="FF979991"/>
        </top>
        <bottom style="thin">
          <color rgb="FF979991"/>
        </bottom>
        <vertical/>
        <horizontal/>
      </border>
    </dxf>
    <dxf>
      <numFmt numFmtId="164" formatCode="_-* #,##0_-;\-* #,##0_-;_-* &quot;-&quot;??_-;_-@_-"/>
    </dxf>
    <dxf>
      <font>
        <b val="0"/>
        <i val="0"/>
        <strike val="0"/>
        <condense val="0"/>
        <extend val="0"/>
        <outline val="0"/>
        <shadow val="0"/>
        <u val="none"/>
        <vertAlign val="baseline"/>
        <sz val="11"/>
        <color theme="1"/>
        <name val="Calibri"/>
        <family val="2"/>
        <charset val="238"/>
        <scheme val="minor"/>
      </font>
      <numFmt numFmtId="164" formatCode="_-* #,##0_-;\-* #,##0_-;_-* &quot;-&quot;??_-;_-@_-"/>
    </dxf>
    <dxf>
      <font>
        <b val="0"/>
        <i val="0"/>
        <strike val="0"/>
        <condense val="0"/>
        <extend val="0"/>
        <outline val="0"/>
        <shadow val="0"/>
        <u val="none"/>
        <vertAlign val="baseline"/>
        <sz val="11"/>
        <color theme="1"/>
        <name val="Calibri"/>
        <family val="2"/>
        <charset val="238"/>
        <scheme val="minor"/>
      </font>
      <numFmt numFmtId="164" formatCode="_-* #,##0_-;\-* #,##0_-;_-* &quot;-&quot;??_-;_-@_-"/>
    </dxf>
    <dxf>
      <font>
        <b val="0"/>
        <i val="0"/>
        <strike val="0"/>
        <condense val="0"/>
        <extend val="0"/>
        <outline val="0"/>
        <shadow val="0"/>
        <u val="none"/>
        <vertAlign val="baseline"/>
        <sz val="11"/>
        <color theme="1"/>
        <name val="Calibri"/>
        <family val="2"/>
        <charset val="238"/>
        <scheme val="minor"/>
      </font>
      <numFmt numFmtId="164" formatCode="_-* #,##0_-;\-* #,##0_-;_-* &quot;-&quot;??_-;_-@_-"/>
    </dxf>
    <dxf>
      <font>
        <b val="0"/>
        <i val="0"/>
        <strike val="0"/>
        <condense val="0"/>
        <extend val="0"/>
        <outline val="0"/>
        <shadow val="0"/>
        <u val="none"/>
        <vertAlign val="baseline"/>
        <sz val="11"/>
        <color theme="1"/>
        <name val="Calibri"/>
        <family val="2"/>
        <charset val="238"/>
        <scheme val="minor"/>
      </font>
      <numFmt numFmtId="164" formatCode="_-* #,##0_-;\-* #,##0_-;_-* &quot;-&quot;??_-;_-@_-"/>
    </dxf>
    <dxf>
      <font>
        <b val="0"/>
        <i val="0"/>
        <strike val="0"/>
        <condense val="0"/>
        <extend val="0"/>
        <outline val="0"/>
        <shadow val="0"/>
        <u val="none"/>
        <vertAlign val="baseline"/>
        <sz val="11"/>
        <color theme="1"/>
        <name val="Calibri"/>
        <family val="2"/>
        <charset val="238"/>
        <scheme val="minor"/>
      </font>
      <numFmt numFmtId="164" formatCode="_-* #,##0_-;\-* #,##0_-;_-* &quot;-&quot;??_-;_-@_-"/>
    </dxf>
    <dxf>
      <alignment horizontal="general" vertical="bottom" textRotation="0" wrapText="1" indent="0" justifyLastLine="0" shrinkToFit="0" readingOrder="0"/>
    </dxf>
    <dxf>
      <font>
        <b val="0"/>
        <i val="0"/>
        <strike val="0"/>
        <condense val="0"/>
        <extend val="0"/>
        <outline val="0"/>
        <shadow val="0"/>
        <u val="none"/>
        <vertAlign val="baseline"/>
        <sz val="11"/>
        <color theme="1"/>
        <name val="Calibri"/>
        <family val="2"/>
        <charset val="238"/>
        <scheme val="minor"/>
      </font>
    </dxf>
    <dxf>
      <alignment horizontal="general" vertical="bottom" textRotation="0" wrapText="1" indent="0" justifyLastLine="0" shrinkToFit="0" readingOrder="0"/>
    </dxf>
    <dxf>
      <numFmt numFmtId="164" formatCode="_-* #,##0_-;\-* #,##0_-;_-* &quot;-&quot;??_-;_-@_-"/>
    </dxf>
    <dxf>
      <numFmt numFmtId="4" formatCode="#,##0.00"/>
    </dxf>
    <dxf>
      <numFmt numFmtId="3" formatCode="#,##0"/>
    </dxf>
    <dxf>
      <font>
        <b val="0"/>
        <i val="0"/>
        <strike val="0"/>
        <condense val="0"/>
        <extend val="0"/>
        <outline val="0"/>
        <shadow val="0"/>
        <u val="none"/>
        <vertAlign val="baseline"/>
        <sz val="11"/>
        <color theme="1"/>
        <name val="Calibri"/>
        <family val="2"/>
        <charset val="238"/>
        <scheme val="minor"/>
      </font>
      <alignment horizontal="general" vertical="center" textRotation="0" wrapText="1" indent="0" justifyLastLine="0" shrinkToFit="0" readingOrder="0"/>
    </dxf>
    <dxf>
      <alignment horizontal="general" vertical="bottom" textRotation="0" wrapText="1" indent="0" justifyLastLine="0" shrinkToFit="0" readingOrder="0"/>
    </dxf>
    <dxf>
      <font>
        <b val="0"/>
        <i val="0"/>
        <strike val="0"/>
        <condense val="0"/>
        <extend val="0"/>
        <outline val="0"/>
        <shadow val="0"/>
        <u val="none"/>
        <vertAlign val="baseline"/>
        <sz val="11"/>
        <color theme="1"/>
        <name val="Calibri"/>
        <family val="2"/>
        <charset val="238"/>
        <scheme val="minor"/>
      </font>
      <alignment horizontal="general" vertical="top" textRotation="0" wrapText="0" indent="0" justifyLastLine="0" shrinkToFit="0" readingOrder="0"/>
    </dxf>
    <dxf>
      <font>
        <b val="0"/>
        <i val="0"/>
        <strike val="0"/>
        <condense val="0"/>
        <extend val="0"/>
        <outline val="0"/>
        <shadow val="0"/>
        <u val="none"/>
        <vertAlign val="baseline"/>
        <sz val="11"/>
        <color theme="1"/>
        <name val="Calibri"/>
        <family val="2"/>
        <charset val="238"/>
        <scheme val="minor"/>
      </font>
      <numFmt numFmtId="35" formatCode="_-* #,##0.00_-;\-* #,##0.00_-;_-* &quot;-&quot;??_-;_-@_-"/>
    </dxf>
    <dxf>
      <alignment horizontal="general" vertical="bottom" textRotation="0" wrapText="1" indent="0" justifyLastLine="0" shrinkToFit="0" readingOrder="0"/>
    </dxf>
    <dxf>
      <font>
        <b val="0"/>
        <i val="0"/>
        <strike val="0"/>
        <condense val="0"/>
        <extend val="0"/>
        <outline val="0"/>
        <shadow val="0"/>
        <u val="none"/>
        <vertAlign val="baseline"/>
        <sz val="8"/>
        <color theme="1"/>
        <name val="Calibri"/>
        <family val="2"/>
        <charset val="238"/>
        <scheme val="none"/>
      </font>
      <numFmt numFmtId="4" formatCode="#,##0.00"/>
      <fill>
        <patternFill patternType="solid">
          <fgColor indexed="64"/>
          <bgColor rgb="FFFFFFFF"/>
        </patternFill>
      </fill>
      <alignment horizontal="right" vertical="top" textRotation="0" wrapText="1" indent="0" justifyLastLine="0" shrinkToFit="0" readingOrder="0"/>
    </dxf>
    <dxf>
      <font>
        <b val="0"/>
        <i val="0"/>
        <strike val="0"/>
        <condense val="0"/>
        <extend val="0"/>
        <outline val="0"/>
        <shadow val="0"/>
        <u val="none"/>
        <vertAlign val="baseline"/>
        <sz val="8"/>
        <color theme="1"/>
        <name val="Calibri"/>
        <family val="2"/>
        <charset val="238"/>
        <scheme val="none"/>
      </font>
      <fill>
        <patternFill patternType="solid">
          <fgColor indexed="64"/>
          <bgColor rgb="FFFFFFFF"/>
        </patternFill>
      </fill>
      <alignment horizontal="center" vertical="top" textRotation="0" wrapText="1" indent="0" justifyLastLine="0" shrinkToFit="0" readingOrder="0"/>
    </dxf>
    <dxf>
      <font>
        <b val="0"/>
        <i val="0"/>
        <strike val="0"/>
        <condense val="0"/>
        <extend val="0"/>
        <outline val="0"/>
        <shadow val="0"/>
        <u val="none"/>
        <vertAlign val="baseline"/>
        <sz val="8"/>
        <color theme="1"/>
        <name val="Calibri"/>
        <family val="2"/>
        <charset val="238"/>
        <scheme val="none"/>
      </font>
      <fill>
        <patternFill patternType="solid">
          <fgColor indexed="64"/>
          <bgColor rgb="FFFFFFFF"/>
        </patternFill>
      </fill>
      <alignment horizontal="center" vertical="top" textRotation="0" wrapText="1" indent="0" justifyLastLine="0" shrinkToFit="0" readingOrder="0"/>
    </dxf>
    <dxf>
      <font>
        <b val="0"/>
        <i val="0"/>
        <strike val="0"/>
        <condense val="0"/>
        <extend val="0"/>
        <outline val="0"/>
        <shadow val="0"/>
        <u val="none"/>
        <vertAlign val="baseline"/>
        <sz val="8"/>
        <color theme="1"/>
        <name val="Calibri"/>
        <family val="2"/>
        <charset val="238"/>
        <scheme val="none"/>
      </font>
      <fill>
        <patternFill patternType="solid">
          <fgColor indexed="64"/>
          <bgColor rgb="FFFFFFFF"/>
        </patternFill>
      </fill>
      <alignment horizontal="center" vertical="top" textRotation="0" wrapText="1" indent="0" justifyLastLine="0" shrinkToFit="0" readingOrder="0"/>
    </dxf>
    <dxf>
      <font>
        <b val="0"/>
        <i val="0"/>
        <strike val="0"/>
        <condense val="0"/>
        <extend val="0"/>
        <outline val="0"/>
        <shadow val="0"/>
        <u val="none"/>
        <vertAlign val="baseline"/>
        <sz val="8"/>
        <color theme="1"/>
        <name val="Calibri"/>
        <family val="2"/>
        <charset val="238"/>
        <scheme val="none"/>
      </font>
      <fill>
        <patternFill patternType="solid">
          <fgColor indexed="64"/>
          <bgColor rgb="FFFFFFFF"/>
        </patternFill>
      </fill>
      <alignment horizontal="center" vertical="top" textRotation="0" wrapText="1" indent="0" justifyLastLine="0" shrinkToFit="0" readingOrder="0"/>
    </dxf>
    <dxf>
      <font>
        <b val="0"/>
        <i val="0"/>
        <strike val="0"/>
        <condense val="0"/>
        <extend val="0"/>
        <outline val="0"/>
        <shadow val="0"/>
        <u val="none"/>
        <vertAlign val="baseline"/>
        <sz val="8"/>
        <color theme="1"/>
        <name val="Calibri"/>
        <family val="2"/>
        <charset val="238"/>
        <scheme val="none"/>
      </font>
      <numFmt numFmtId="4" formatCode="#,##0.00"/>
      <fill>
        <patternFill patternType="solid">
          <fgColor indexed="64"/>
          <bgColor rgb="FFFFFFFF"/>
        </patternFill>
      </fill>
      <alignment horizontal="right" vertical="top" textRotation="0" wrapText="1" indent="0" justifyLastLine="0" shrinkToFit="0" readingOrder="0"/>
    </dxf>
    <dxf>
      <font>
        <b val="0"/>
        <i val="0"/>
        <strike val="0"/>
        <condense val="0"/>
        <extend val="0"/>
        <outline val="0"/>
        <shadow val="0"/>
        <u val="none"/>
        <vertAlign val="baseline"/>
        <sz val="8"/>
        <color theme="1"/>
        <name val="Calibri"/>
        <family val="2"/>
        <charset val="238"/>
        <scheme val="none"/>
      </font>
      <fill>
        <patternFill patternType="solid">
          <fgColor indexed="64"/>
          <bgColor rgb="FFFFFFFF"/>
        </patternFill>
      </fill>
      <alignment horizontal="center" vertical="top" textRotation="0" wrapText="1" indent="0" justifyLastLine="0" shrinkToFit="0" readingOrder="0"/>
    </dxf>
    <dxf>
      <font>
        <b val="0"/>
        <i val="0"/>
        <strike val="0"/>
        <condense val="0"/>
        <extend val="0"/>
        <outline val="0"/>
        <shadow val="0"/>
        <u val="none"/>
        <vertAlign val="baseline"/>
        <sz val="8"/>
        <color theme="1"/>
        <name val="Calibri"/>
        <family val="2"/>
        <charset val="238"/>
        <scheme val="none"/>
      </font>
      <fill>
        <patternFill patternType="solid">
          <fgColor indexed="64"/>
          <bgColor rgb="FFFFFFFF"/>
        </patternFill>
      </fill>
      <alignment horizontal="center" vertical="top" textRotation="0" wrapText="1" indent="0" justifyLastLine="0" shrinkToFit="0" readingOrder="0"/>
    </dxf>
    <dxf>
      <font>
        <b val="0"/>
        <i val="0"/>
        <strike val="0"/>
        <condense val="0"/>
        <extend val="0"/>
        <outline val="0"/>
        <shadow val="0"/>
        <u val="none"/>
        <vertAlign val="baseline"/>
        <sz val="8"/>
        <color theme="1"/>
        <name val="Calibri"/>
        <family val="2"/>
        <charset val="238"/>
        <scheme val="none"/>
      </font>
      <fill>
        <patternFill patternType="solid">
          <fgColor indexed="64"/>
          <bgColor rgb="FFFFFFFF"/>
        </patternFill>
      </fill>
      <alignment horizontal="center" vertical="top" textRotation="0" wrapText="1" indent="0" justifyLastLine="0" shrinkToFit="0" readingOrder="0"/>
    </dxf>
    <dxf>
      <font>
        <b val="0"/>
        <i val="0"/>
        <strike val="0"/>
        <condense val="0"/>
        <extend val="0"/>
        <outline val="0"/>
        <shadow val="0"/>
        <u val="none"/>
        <vertAlign val="baseline"/>
        <sz val="8"/>
        <color theme="1"/>
        <name val="Calibri"/>
        <family val="2"/>
        <charset val="238"/>
        <scheme val="none"/>
      </font>
      <fill>
        <patternFill patternType="solid">
          <fgColor indexed="64"/>
          <bgColor rgb="FFFFFFFF"/>
        </patternFill>
      </fill>
      <alignment horizontal="center" vertical="top" textRotation="0" wrapText="1" indent="0" justifyLastLine="0" shrinkToFit="0" readingOrder="0"/>
    </dxf>
    <dxf>
      <font>
        <b val="0"/>
        <i val="0"/>
        <strike val="0"/>
        <condense val="0"/>
        <extend val="0"/>
        <outline val="0"/>
        <shadow val="0"/>
        <u val="none"/>
        <vertAlign val="baseline"/>
        <sz val="10"/>
        <color theme="1"/>
        <name val="Times New Roman"/>
        <family val="1"/>
        <charset val="238"/>
        <scheme val="none"/>
      </font>
      <numFmt numFmtId="4" formatCode="#,##0.00"/>
      <alignment horizontal="righ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Times New Roman"/>
        <family val="1"/>
        <charset val="238"/>
        <scheme val="none"/>
      </font>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Times New Roman"/>
        <family val="1"/>
        <charset val="238"/>
        <scheme val="none"/>
      </font>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Times New Roman"/>
        <family val="1"/>
        <charset val="238"/>
        <scheme val="none"/>
      </font>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Times New Roman"/>
        <family val="1"/>
        <charset val="238"/>
        <scheme val="none"/>
      </font>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Times New Roman"/>
        <family val="1"/>
        <charset val="238"/>
        <scheme val="none"/>
      </font>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theme="1"/>
        <name val="Times New Roman"/>
        <family val="1"/>
        <charset val="238"/>
        <scheme val="none"/>
      </font>
      <alignment horizontal="left" vertical="center" textRotation="0" wrapText="1" indent="0" justifyLastLine="0" shrinkToFit="0" readingOrder="0"/>
    </dxf>
    <dxf>
      <alignment horizontal="general" vertical="bottom" textRotation="0" wrapText="1" indent="0" justifyLastLine="0" shrinkToFit="0" readingOrder="0"/>
    </dxf>
    <dxf>
      <numFmt numFmtId="1" formatCode="0"/>
    </dxf>
    <dxf>
      <numFmt numFmtId="1" formatCode="0"/>
    </dxf>
    <dxf>
      <font>
        <b val="0"/>
        <i val="0"/>
        <strike val="0"/>
        <condense val="0"/>
        <extend val="0"/>
        <outline val="0"/>
        <shadow val="0"/>
        <u val="none"/>
        <vertAlign val="baseline"/>
        <sz val="11"/>
        <color theme="1"/>
        <name val="Calibri"/>
        <family val="2"/>
        <charset val="238"/>
        <scheme val="minor"/>
      </font>
      <numFmt numFmtId="164" formatCode="_-* #,##0_-;\-* #,##0_-;_-* &quot;-&quot;??_-;_-@_-"/>
    </dxf>
    <dxf>
      <numFmt numFmtId="3" formatCode="#,##0"/>
    </dxf>
    <dxf>
      <numFmt numFmtId="3" formatCode="#,##0"/>
    </dxf>
    <dxf>
      <numFmt numFmtId="3" formatCode="#,##0"/>
    </dxf>
    <dxf>
      <border outline="0">
        <top style="thin">
          <color rgb="FF000000"/>
        </top>
      </border>
    </dxf>
    <dxf>
      <border outline="0">
        <bottom style="thin">
          <color rgb="FF000000"/>
        </bottom>
      </border>
    </dxf>
    <dxf>
      <border diagonalUp="0" diagonalDown="0" outline="0">
        <left style="thin">
          <color rgb="FF000000"/>
        </left>
        <right style="thin">
          <color rgb="FF000000"/>
        </right>
        <top/>
        <bottom/>
      </border>
    </dxf>
    <dxf>
      <numFmt numFmtId="165" formatCode="#,##0.0"/>
    </dxf>
    <dxf>
      <numFmt numFmtId="165" formatCode="#,##0.0"/>
    </dxf>
    <dxf>
      <numFmt numFmtId="165" formatCode="#,##0.0"/>
    </dxf>
    <dxf>
      <numFmt numFmtId="3" formatCode="#,##0"/>
    </dxf>
    <dxf>
      <numFmt numFmtId="3" formatCode="#,##0"/>
    </dxf>
    <dxf>
      <numFmt numFmtId="3" formatCode="#,##0"/>
    </dxf>
    <dxf>
      <border outline="0">
        <top style="thin">
          <color rgb="FF000000"/>
        </top>
      </border>
    </dxf>
    <dxf>
      <border outline="0">
        <bottom style="thin">
          <color rgb="FF000000"/>
        </bottom>
      </border>
    </dxf>
    <dxf>
      <border diagonalUp="0" diagonalDown="0" outline="0">
        <left style="thin">
          <color rgb="FF000000"/>
        </left>
        <right style="thin">
          <color rgb="FF000000"/>
        </right>
        <top/>
        <bottom/>
      </border>
    </dxf>
    <dxf>
      <font>
        <b val="0"/>
        <i val="0"/>
        <strike val="0"/>
        <condense val="0"/>
        <extend val="0"/>
        <outline val="0"/>
        <shadow val="0"/>
        <u val="none"/>
        <vertAlign val="baseline"/>
        <sz val="11"/>
        <color theme="1"/>
        <name val="Calibri"/>
        <family val="2"/>
        <charset val="238"/>
        <scheme val="minor"/>
      </font>
      <numFmt numFmtId="164" formatCode="_-* #,##0_-;\-* #,##0_-;_-* &quot;-&quot;??_-;_-@_-"/>
    </dxf>
    <dxf>
      <alignment horizontal="general" vertical="bottom" textRotation="0" wrapText="1" indent="0" justifyLastLine="0" shrinkToFit="0" readingOrder="0"/>
    </dxf>
    <dxf>
      <font>
        <b val="0"/>
        <i val="0"/>
        <strike val="0"/>
        <condense val="0"/>
        <extend val="0"/>
        <outline val="0"/>
        <shadow val="0"/>
        <u val="none"/>
        <vertAlign val="baseline"/>
        <sz val="11"/>
        <color theme="1"/>
        <name val="Calibri"/>
        <family val="2"/>
        <charset val="238"/>
        <scheme val="minor"/>
      </font>
      <numFmt numFmtId="164" formatCode="_-* #,##0_-;\-* #,##0_-;_-* &quot;-&quot;??_-;_-@_-"/>
    </dxf>
    <dxf>
      <alignment horizontal="general" vertical="bottom" textRotation="0" wrapText="1" indent="0" justifyLastLine="0" shrinkToFit="0" readingOrder="0"/>
    </dxf>
    <dxf>
      <font>
        <b val="0"/>
        <i val="0"/>
        <strike val="0"/>
        <condense val="0"/>
        <extend val="0"/>
        <outline val="0"/>
        <shadow val="0"/>
        <u val="none"/>
        <vertAlign val="baseline"/>
        <sz val="11"/>
        <color theme="1"/>
        <name val="Calibri"/>
        <family val="2"/>
        <charset val="238"/>
        <scheme val="minor"/>
      </font>
      <numFmt numFmtId="164" formatCode="_-* #,##0_-;\-* #,##0_-;_-* &quot;-&quot;??_-;_-@_-"/>
    </dxf>
    <dxf>
      <alignment horizontal="justify" vertical="center" textRotation="0" wrapText="0" indent="0" justifyLastLine="0" shrinkToFit="0" readingOrder="0"/>
    </dxf>
    <dxf>
      <numFmt numFmtId="164" formatCode="_-* #,##0_-;\-* #,##0_-;_-* &quot;-&quot;??_-;_-@_-"/>
    </dxf>
    <dxf>
      <alignment horizontal="general" vertical="center" textRotation="0" wrapText="1" indent="0" justifyLastLine="0" shrinkToFit="0" readingOrder="0"/>
    </dxf>
    <dxf>
      <numFmt numFmtId="13" formatCode="0%"/>
      <alignment horizontal="general" vertical="center" textRotation="0" wrapText="1" indent="0" justifyLastLine="0" shrinkToFit="0" readingOrder="0"/>
    </dxf>
    <dxf>
      <numFmt numFmtId="3" formatCode="#,##0"/>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numFmt numFmtId="164" formatCode="_-* #,##0_-;\-* #,##0_-;_-* &quot;-&quot;??_-;_-@_-"/>
    </dxf>
    <dxf>
      <numFmt numFmtId="164" formatCode="_-* #,##0_-;\-* #,##0_-;_-* &quot;-&quot;??_-;_-@_-"/>
    </dxf>
    <dxf>
      <font>
        <b/>
        <i val="0"/>
        <strike val="0"/>
        <condense val="0"/>
        <extend val="0"/>
        <outline val="0"/>
        <shadow val="0"/>
        <u val="none"/>
        <vertAlign val="baseline"/>
        <sz val="11"/>
        <color theme="1"/>
        <name val="Calibri"/>
        <family val="2"/>
        <charset val="238"/>
        <scheme val="minor"/>
      </font>
      <numFmt numFmtId="170" formatCode="_-* #,##0.0_-;\-* #,##0.0_-;_-* &quot;-&quot;??_-;_-@_-"/>
    </dxf>
    <dxf>
      <numFmt numFmtId="164" formatCode="_-* #,##0_-;\-* #,##0_-;_-* &quot;-&quot;??_-;_-@_-"/>
    </dxf>
    <dxf>
      <font>
        <b/>
        <i val="0"/>
        <strike val="0"/>
        <condense val="0"/>
        <extend val="0"/>
        <outline val="0"/>
        <shadow val="0"/>
        <u val="none"/>
        <vertAlign val="baseline"/>
        <sz val="11"/>
        <color theme="1"/>
        <name val="Calibri"/>
        <family val="2"/>
        <charset val="238"/>
        <scheme val="minor"/>
      </font>
      <numFmt numFmtId="164" formatCode="_-* #,##0_-;\-* #,##0_-;_-* &quot;-&quot;??_-;_-@_-"/>
    </dxf>
    <dxf>
      <font>
        <b val="0"/>
        <i val="0"/>
        <strike val="0"/>
        <condense val="0"/>
        <extend val="0"/>
        <outline val="0"/>
        <shadow val="0"/>
        <u val="none"/>
        <vertAlign val="baseline"/>
        <sz val="11"/>
        <color theme="1"/>
        <name val="Calibri"/>
        <family val="2"/>
        <charset val="238"/>
        <scheme val="minor"/>
      </font>
      <numFmt numFmtId="164" formatCode="_-* #,##0_-;\-* #,##0_-;_-* &quot;-&quot;??_-;_-@_-"/>
    </dxf>
    <dxf>
      <font>
        <b/>
        <i val="0"/>
        <strike val="0"/>
        <condense val="0"/>
        <extend val="0"/>
        <outline val="0"/>
        <shadow val="0"/>
        <u val="none"/>
        <vertAlign val="baseline"/>
        <sz val="11"/>
        <color theme="1"/>
        <name val="Calibri"/>
        <family val="2"/>
        <charset val="238"/>
        <scheme val="minor"/>
      </font>
      <numFmt numFmtId="164" formatCode="_-* #,##0_-;\-* #,##0_-;_-* &quot;-&quot;??_-;_-@_-"/>
    </dxf>
    <dxf>
      <numFmt numFmtId="164" formatCode="_-* #,##0_-;\-* #,##0_-;_-* &quot;-&quot;??_-;_-@_-"/>
    </dxf>
    <dxf>
      <font>
        <b/>
        <i val="0"/>
        <strike val="0"/>
        <condense val="0"/>
        <extend val="0"/>
        <outline val="0"/>
        <shadow val="0"/>
        <u val="none"/>
        <vertAlign val="baseline"/>
        <sz val="11"/>
        <color theme="1"/>
        <name val="Calibri"/>
        <family val="2"/>
        <charset val="238"/>
        <scheme val="minor"/>
      </font>
      <numFmt numFmtId="170" formatCode="_-* #,##0.0_-;\-* #,##0.0_-;_-* &quot;-&quot;??_-;_-@_-"/>
    </dxf>
    <dxf>
      <font>
        <b val="0"/>
        <i val="0"/>
        <strike val="0"/>
        <condense val="0"/>
        <extend val="0"/>
        <outline val="0"/>
        <shadow val="0"/>
        <u val="none"/>
        <vertAlign val="baseline"/>
        <sz val="11"/>
        <color theme="1"/>
        <name val="Calibri"/>
        <family val="2"/>
        <charset val="238"/>
        <scheme val="minor"/>
      </font>
      <numFmt numFmtId="164" formatCode="_-* #,##0_-;\-* #,##0_-;_-* &quot;-&quot;??_-;_-@_-"/>
    </dxf>
    <dxf>
      <font>
        <b/>
        <i val="0"/>
        <strike val="0"/>
        <condense val="0"/>
        <extend val="0"/>
        <outline val="0"/>
        <shadow val="0"/>
        <u val="none"/>
        <vertAlign val="baseline"/>
        <sz val="11"/>
        <color theme="1"/>
        <name val="Calibri"/>
        <family val="2"/>
        <charset val="238"/>
        <scheme val="minor"/>
      </font>
      <numFmt numFmtId="164" formatCode="_-* #,##0_-;\-* #,##0_-;_-* &quot;-&quot;??_-;_-@_-"/>
    </dxf>
    <dxf>
      <font>
        <b val="0"/>
        <i val="0"/>
        <strike val="0"/>
        <condense val="0"/>
        <extend val="0"/>
        <outline val="0"/>
        <shadow val="0"/>
        <u val="none"/>
        <vertAlign val="baseline"/>
        <sz val="11"/>
        <color theme="1"/>
        <name val="Calibri"/>
        <family val="2"/>
        <charset val="238"/>
        <scheme val="minor"/>
      </font>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font>
        <b val="0"/>
        <i val="0"/>
        <strike val="0"/>
        <condense val="0"/>
        <extend val="0"/>
        <outline val="0"/>
        <shadow val="0"/>
        <u val="none"/>
        <vertAlign val="baseline"/>
        <sz val="11"/>
        <color theme="1"/>
        <name val="Calibri"/>
        <family val="2"/>
        <charset val="238"/>
        <scheme val="minor"/>
      </font>
      <numFmt numFmtId="164" formatCode="_-* #,##0_-;\-* #,##0_-;_-* &quot;-&quot;??_-;_-@_-"/>
    </dxf>
    <dxf>
      <font>
        <b val="0"/>
        <i val="0"/>
        <strike val="0"/>
        <condense val="0"/>
        <extend val="0"/>
        <outline val="0"/>
        <shadow val="0"/>
        <u val="none"/>
        <vertAlign val="baseline"/>
        <sz val="11"/>
        <color theme="1"/>
        <name val="Calibri"/>
        <family val="2"/>
        <charset val="238"/>
        <scheme val="minor"/>
      </font>
      <numFmt numFmtId="164" formatCode="_-* #,##0_-;\-* #,##0_-;_-* &quot;-&quot;??_-;_-@_-"/>
    </dxf>
    <dxf>
      <numFmt numFmtId="13" formatCode="0%"/>
    </dxf>
    <dxf>
      <numFmt numFmtId="13" formatCode="0%"/>
    </dxf>
    <dxf>
      <numFmt numFmtId="3" formatCode="#,##0"/>
      <alignment horizontal="right" vertical="center" textRotation="0" wrapText="1" indent="0" justifyLastLine="0" shrinkToFit="0" readingOrder="0"/>
    </dxf>
    <dxf>
      <numFmt numFmtId="3" formatCode="#,##0"/>
      <alignment horizontal="right"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font>
        <b val="0"/>
        <i val="0"/>
        <strike val="0"/>
        <condense val="0"/>
        <extend val="0"/>
        <outline val="0"/>
        <shadow val="0"/>
        <u val="none"/>
        <vertAlign val="baseline"/>
        <sz val="9"/>
        <color theme="1"/>
        <name val="Calibri"/>
        <family val="2"/>
        <charset val="238"/>
        <scheme val="minor"/>
      </font>
      <alignment horizontal="center" vertical="center" textRotation="0" wrapText="1" indent="0" justifyLastLine="0" shrinkToFit="0" readingOrder="0"/>
    </dxf>
    <dxf>
      <numFmt numFmtId="164" formatCode="_-* #,##0_-;\-* #,##0_-;_-* &quot;-&quot;??_-;_-@_-"/>
    </dxf>
    <dxf>
      <alignment horizontal="general" vertical="bottom" textRotation="0" wrapText="1" indent="0" justifyLastLine="0" shrinkToFit="0" readingOrder="0"/>
    </dxf>
    <dxf>
      <font>
        <b val="0"/>
        <i val="0"/>
        <strike val="0"/>
        <condense val="0"/>
        <extend val="0"/>
        <outline val="0"/>
        <shadow val="0"/>
        <u val="none"/>
        <vertAlign val="baseline"/>
        <sz val="11"/>
        <color theme="1"/>
        <name val="Calibri"/>
        <family val="2"/>
        <charset val="238"/>
        <scheme val="minor"/>
      </font>
      <numFmt numFmtId="164" formatCode="_-* #,##0_-;\-* #,##0_-;_-* &quot;-&quot;??_-;_-@_-"/>
    </dxf>
    <dxf>
      <font>
        <b val="0"/>
        <i val="0"/>
        <strike val="0"/>
        <condense val="0"/>
        <extend val="0"/>
        <outline val="0"/>
        <shadow val="0"/>
        <u val="none"/>
        <vertAlign val="baseline"/>
        <sz val="11"/>
        <color theme="1"/>
        <name val="Calibri"/>
        <family val="2"/>
        <charset val="238"/>
        <scheme val="minor"/>
      </font>
      <numFmt numFmtId="164" formatCode="_-* #,##0_-;\-* #,##0_-;_-* &quot;-&quot;??_-;_-@_-"/>
    </dxf>
    <dxf>
      <font>
        <b/>
        <i val="0"/>
        <strike val="0"/>
        <condense val="0"/>
        <extend val="0"/>
        <outline val="0"/>
        <shadow val="0"/>
        <u val="none"/>
        <vertAlign val="baseline"/>
        <sz val="11"/>
        <color theme="0"/>
        <name val="Calibri"/>
        <family val="2"/>
        <charset val="238"/>
        <scheme val="minor"/>
      </font>
      <fill>
        <patternFill patternType="solid">
          <fgColor theme="4"/>
          <bgColor theme="4"/>
        </patternFill>
      </fill>
    </dxf>
    <dxf>
      <font>
        <b val="0"/>
        <i val="0"/>
        <strike val="0"/>
        <condense val="0"/>
        <extend val="0"/>
        <outline val="0"/>
        <shadow val="0"/>
        <u val="none"/>
        <vertAlign val="baseline"/>
        <sz val="11"/>
        <color theme="1"/>
        <name val="Calibri"/>
        <family val="2"/>
        <charset val="238"/>
        <scheme val="minor"/>
      </font>
      <numFmt numFmtId="164" formatCode="_-* #,##0_-;\-* #,##0_-;_-* &quot;-&quot;??_-;_-@_-"/>
    </dxf>
    <dxf>
      <font>
        <b val="0"/>
        <i val="0"/>
        <strike val="0"/>
        <condense val="0"/>
        <extend val="0"/>
        <outline val="0"/>
        <shadow val="0"/>
        <u val="none"/>
        <vertAlign val="baseline"/>
        <sz val="11"/>
        <color theme="1"/>
        <name val="Calibri"/>
        <family val="2"/>
        <charset val="238"/>
        <scheme val="minor"/>
      </font>
      <numFmt numFmtId="164" formatCode="_-* #,##0_-;\-* #,##0_-;_-* &quot;-&quot;??_-;_-@_-"/>
    </dxf>
    <dxf>
      <alignment horizontal="general" vertical="bottom" textRotation="0" wrapText="1" indent="0" justifyLastLine="0" shrinkToFit="0" readingOrder="0"/>
    </dxf>
    <dxf>
      <font>
        <b/>
        <i val="0"/>
        <strike val="0"/>
        <condense val="0"/>
        <extend val="0"/>
        <outline val="0"/>
        <shadow val="0"/>
        <u val="none"/>
        <vertAlign val="baseline"/>
        <sz val="11"/>
        <color theme="0"/>
        <name val="Calibri"/>
        <family val="2"/>
        <charset val="238"/>
        <scheme val="minor"/>
      </font>
      <fill>
        <patternFill patternType="solid">
          <fgColor theme="4"/>
          <bgColor theme="4"/>
        </patternFill>
      </fill>
    </dxf>
    <dxf>
      <font>
        <b val="0"/>
        <i val="0"/>
        <strike val="0"/>
        <condense val="0"/>
        <extend val="0"/>
        <outline val="0"/>
        <shadow val="0"/>
        <u val="none"/>
        <vertAlign val="baseline"/>
        <sz val="11"/>
        <color theme="1"/>
        <name val="Calibri"/>
        <family val="2"/>
        <charset val="238"/>
        <scheme val="minor"/>
      </font>
      <numFmt numFmtId="164" formatCode="_-* #,##0_-;\-* #,##0_-;_-* &quot;-&quot;??_-;_-@_-"/>
    </dxf>
    <dxf>
      <font>
        <b/>
        <i val="0"/>
        <strike val="0"/>
        <condense val="0"/>
        <extend val="0"/>
        <outline val="0"/>
        <shadow val="0"/>
        <u val="none"/>
        <vertAlign val="baseline"/>
        <sz val="11"/>
        <color theme="0"/>
        <name val="Calibri"/>
        <family val="2"/>
        <charset val="238"/>
        <scheme val="minor"/>
      </font>
      <fill>
        <patternFill patternType="solid">
          <fgColor theme="4"/>
          <bgColor theme="4"/>
        </patternFill>
      </fill>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ont>
        <b/>
        <i val="0"/>
        <strike val="0"/>
        <condense val="0"/>
        <extend val="0"/>
        <outline val="0"/>
        <shadow val="0"/>
        <u val="none"/>
        <vertAlign val="baseline"/>
        <sz val="11"/>
        <color theme="0"/>
        <name val="Calibri"/>
        <family val="2"/>
        <charset val="238"/>
        <scheme val="minor"/>
      </font>
      <fill>
        <patternFill patternType="solid">
          <fgColor theme="4"/>
          <bgColor theme="4"/>
        </patternFill>
      </fill>
    </dxf>
    <dxf>
      <numFmt numFmtId="164" formatCode="_-* #,##0_-;\-* #,##0_-;_-* &quot;-&quot;??_-;_-@_-"/>
    </dxf>
    <dxf>
      <font>
        <b val="0"/>
        <i val="0"/>
        <strike val="0"/>
        <condense val="0"/>
        <extend val="0"/>
        <outline val="0"/>
        <shadow val="0"/>
        <u val="none"/>
        <vertAlign val="baseline"/>
        <sz val="11"/>
        <color theme="1"/>
        <name val="Calibri"/>
        <family val="2"/>
        <charset val="238"/>
        <scheme val="minor"/>
      </font>
      <numFmt numFmtId="164" formatCode="_-* #,##0_-;\-* #,##0_-;_-* &quot;-&quot;??_-;_-@_-"/>
    </dxf>
    <dxf>
      <alignment horizontal="general" vertical="bottom" textRotation="0" wrapText="1" indent="0" justifyLastLine="0" shrinkToFit="0" readingOrder="0"/>
    </dxf>
    <dxf>
      <numFmt numFmtId="164" formatCode="_-* #,##0_-;\-* #,##0_-;_-* &quot;-&quot;??_-;_-@_-"/>
    </dxf>
    <dxf>
      <font>
        <b val="0"/>
        <i val="0"/>
        <strike val="0"/>
        <condense val="0"/>
        <extend val="0"/>
        <outline val="0"/>
        <shadow val="0"/>
        <u val="none"/>
        <vertAlign val="baseline"/>
        <sz val="11"/>
        <color theme="1"/>
        <name val="Calibri"/>
        <family val="2"/>
        <charset val="238"/>
        <scheme val="minor"/>
      </font>
      <numFmt numFmtId="164" formatCode="_-* #,##0_-;\-* #,##0_-;_-* &quot;-&quot;??_-;_-@_-"/>
      <alignment horizontal="general" vertical="bottom" textRotation="0" wrapText="1" indent="0" justifyLastLine="0" shrinkToFit="0" readingOrder="0"/>
    </dxf>
    <dxf>
      <font>
        <b val="0"/>
        <i val="0"/>
        <strike val="0"/>
        <condense val="0"/>
        <extend val="0"/>
        <outline val="0"/>
        <shadow val="0"/>
        <u val="none"/>
        <vertAlign val="baseline"/>
        <sz val="11"/>
        <color theme="1"/>
        <name val="Calibri"/>
        <family val="2"/>
        <charset val="238"/>
        <scheme val="minor"/>
      </font>
      <numFmt numFmtId="0" formatCode="General"/>
      <alignment horizontal="left" vertical="bottom" textRotation="0" wrapText="0" indent="0" justifyLastLine="0" shrinkToFit="0" readingOrder="0"/>
    </dxf>
    <dxf>
      <font>
        <b val="0"/>
        <i val="0"/>
        <strike val="0"/>
        <condense val="0"/>
        <extend val="0"/>
        <outline val="0"/>
        <shadow val="0"/>
        <u val="none"/>
        <vertAlign val="baseline"/>
        <sz val="8"/>
        <color theme="1"/>
        <name val="Calibri"/>
        <family val="2"/>
        <charset val="238"/>
        <scheme val="minor"/>
      </font>
      <alignment horizontal="general" vertical="center" textRotation="0" wrapText="0" indent="0" justifyLastLine="0" shrinkToFit="0" readingOrder="0"/>
      <border diagonalUp="0" diagonalDown="0">
        <left style="thin">
          <color theme="4" tint="0.39997558519241921"/>
        </left>
        <right/>
        <top style="thin">
          <color theme="4" tint="0.39997558519241921"/>
        </top>
        <bottom style="thin">
          <color theme="4" tint="0.39997558519241921"/>
        </bottom>
        <vertical/>
        <horizontal/>
      </border>
    </dxf>
    <dxf>
      <font>
        <b val="0"/>
        <i val="0"/>
        <strike val="0"/>
        <condense val="0"/>
        <extend val="0"/>
        <outline val="0"/>
        <shadow val="0"/>
        <u val="none"/>
        <vertAlign val="baseline"/>
        <sz val="8"/>
        <color theme="1"/>
        <name val="Calibri"/>
        <family val="2"/>
        <charset val="238"/>
        <scheme val="minor"/>
      </font>
      <alignment horizontal="general" vertical="center" textRotation="0" wrapText="1" indent="0" justifyLastLine="0" shrinkToFit="0" readingOrder="0"/>
      <border diagonalUp="0" diagonalDown="0">
        <left/>
        <right/>
        <top style="thin">
          <color theme="4" tint="0.39997558519241921"/>
        </top>
        <bottom style="thin">
          <color theme="4" tint="0.39997558519241921"/>
        </bottom>
        <vertical/>
        <horizontal/>
      </border>
    </dxf>
    <dxf>
      <border outline="0">
        <top style="thin">
          <color theme="4" tint="0.39997558519241921"/>
        </top>
      </border>
    </dxf>
    <dxf>
      <border outline="0">
        <left style="thin">
          <color theme="4" tint="0.39997558519241921"/>
        </left>
        <right style="thin">
          <color theme="4" tint="0.39997558519241921"/>
        </right>
        <top style="thin">
          <color theme="4" tint="0.39997558519241921"/>
        </top>
        <bottom style="thin">
          <color theme="4" tint="0.39997558519241921"/>
        </bottom>
      </border>
    </dxf>
    <dxf>
      <border outline="0">
        <bottom style="thin">
          <color theme="4" tint="0.39997558519241921"/>
        </bottom>
      </border>
    </dxf>
    <dxf>
      <font>
        <b val="0"/>
        <i val="0"/>
        <strike val="0"/>
        <condense val="0"/>
        <extend val="0"/>
        <outline val="0"/>
        <shadow val="0"/>
        <u val="none"/>
        <vertAlign val="baseline"/>
        <sz val="8"/>
        <color theme="1"/>
        <name val="Calibri"/>
        <family val="2"/>
        <charset val="238"/>
        <scheme val="minor"/>
      </font>
      <alignment horizontal="general" vertical="center" textRotation="0" wrapText="0" indent="0" justifyLastLine="0" shrinkToFit="0" readingOrder="0"/>
    </dxf>
    <dxf>
      <font>
        <b val="0"/>
        <i val="0"/>
        <strike val="0"/>
        <condense val="0"/>
        <extend val="0"/>
        <outline val="0"/>
        <shadow val="0"/>
        <u val="none"/>
        <vertAlign val="baseline"/>
        <sz val="8"/>
        <color theme="1"/>
        <name val="Calibri"/>
        <family val="2"/>
        <charset val="238"/>
        <scheme val="minor"/>
      </font>
      <alignment horizontal="general" vertical="center" textRotation="0" wrapText="1" indent="0" justifyLastLine="0" shrinkToFit="0" readingOrder="0"/>
    </dxf>
    <dxf>
      <font>
        <b val="0"/>
        <i val="0"/>
        <strike val="0"/>
        <condense val="0"/>
        <extend val="0"/>
        <outline val="0"/>
        <shadow val="0"/>
        <u val="none"/>
        <vertAlign val="baseline"/>
        <sz val="8"/>
        <color theme="1"/>
        <name val="Calibri"/>
        <family val="2"/>
        <charset val="238"/>
        <scheme val="minor"/>
      </font>
    </dxf>
    <dxf>
      <alignment horizontal="general" vertical="bottom" textRotation="0" wrapText="1" indent="0" justifyLastLine="0" shrinkToFit="0" readingOrder="0"/>
    </dxf>
    <dxf>
      <font>
        <b val="0"/>
        <i val="0"/>
        <strike val="0"/>
        <condense val="0"/>
        <extend val="0"/>
        <outline val="0"/>
        <shadow val="0"/>
        <u val="none"/>
        <vertAlign val="baseline"/>
        <sz val="11"/>
        <color theme="1"/>
        <name val="Calibri"/>
        <family val="2"/>
        <charset val="238"/>
        <scheme val="minor"/>
      </font>
      <numFmt numFmtId="164" formatCode="_-* #,##0_-;\-* #,##0_-;_-* &quot;-&quot;??_-;_-@_-"/>
    </dxf>
    <dxf>
      <font>
        <b val="0"/>
        <i val="0"/>
        <strike val="0"/>
        <condense val="0"/>
        <extend val="0"/>
        <outline val="0"/>
        <shadow val="0"/>
        <u val="none"/>
        <vertAlign val="baseline"/>
        <sz val="11"/>
        <color theme="1"/>
        <name val="Calibri"/>
        <family val="2"/>
        <charset val="238"/>
        <scheme val="minor"/>
      </font>
      <numFmt numFmtId="35" formatCode="_-* #,##0.00_-;\-* #,##0.00_-;_-* &quot;-&quot;??_-;_-@_-"/>
    </dxf>
    <dxf>
      <font>
        <b val="0"/>
        <i val="0"/>
        <strike val="0"/>
        <condense val="0"/>
        <extend val="0"/>
        <outline val="0"/>
        <shadow val="0"/>
        <u val="none"/>
        <vertAlign val="baseline"/>
        <sz val="11"/>
        <color theme="1"/>
        <name val="Calibri"/>
        <family val="2"/>
        <charset val="238"/>
        <scheme val="minor"/>
      </font>
      <numFmt numFmtId="35" formatCode="_-* #,##0.00_-;\-* #,##0.00_-;_-* &quot;-&quot;??_-;_-@_-"/>
    </dxf>
    <dxf>
      <alignment horizontal="general" vertical="center" textRotation="0" wrapText="0" indent="0" justifyLastLine="0" shrinkToFit="0" readingOrder="0"/>
    </dxf>
    <dxf>
      <numFmt numFmtId="164" formatCode="_-* #,##0_-;\-* #,##0_-;_-* &quot;-&quot;??_-;_-@_-"/>
    </dxf>
    <dxf>
      <numFmt numFmtId="164" formatCode="_-* #,##0_-;\-* #,##0_-;_-* &quot;-&quot;??_-;_-@_-"/>
    </dxf>
    <dxf>
      <numFmt numFmtId="164" formatCode="_-* #,##0_-;\-* #,##0_-;_-* &quot;-&quot;??_-;_-@_-"/>
      <alignment horizontal="right" vertical="center" textRotation="0" wrapText="0" indent="0" justifyLastLine="0" shrinkToFit="0" readingOrder="0"/>
    </dxf>
    <dxf>
      <border outline="0">
        <top style="thin">
          <color theme="0"/>
        </top>
      </border>
    </dxf>
    <dxf>
      <border outline="0">
        <bottom style="thin">
          <color theme="0"/>
        </bottom>
      </border>
    </dxf>
    <dxf>
      <font>
        <b val="0"/>
        <i val="0"/>
        <strike val="0"/>
        <condense val="0"/>
        <extend val="0"/>
        <outline val="0"/>
        <shadow val="0"/>
        <u val="none"/>
        <vertAlign val="baseline"/>
        <sz val="11"/>
        <color theme="1"/>
        <name val="Calibri"/>
        <family val="2"/>
        <charset val="238"/>
        <scheme val="minor"/>
      </font>
      <numFmt numFmtId="164" formatCode="_-* #,##0_-;\-* #,##0_-;_-* &quot;-&quot;??_-;_-@_-"/>
    </dxf>
    <dxf>
      <font>
        <b val="0"/>
        <i val="0"/>
        <strike val="0"/>
        <condense val="0"/>
        <extend val="0"/>
        <outline val="0"/>
        <shadow val="0"/>
        <u val="none"/>
        <vertAlign val="baseline"/>
        <sz val="11"/>
        <color theme="1"/>
        <name val="Calibri"/>
        <family val="2"/>
        <charset val="238"/>
        <scheme val="minor"/>
      </font>
      <numFmt numFmtId="164" formatCode="_-* #,##0_-;\-* #,##0_-;_-* &quot;-&quot;??_-;_-@_-"/>
    </dxf>
    <dxf>
      <numFmt numFmtId="166" formatCode="_-* #,##0.00\ _z_ł_-;\-* #,##0.00\ _z_ł_-;_-* &quot;-&quot;??\ _z_ł_-;_-@_-"/>
    </dxf>
    <dxf>
      <font>
        <b val="0"/>
        <i val="0"/>
        <strike val="0"/>
        <condense val="0"/>
        <extend val="0"/>
        <outline val="0"/>
        <shadow val="0"/>
        <u val="none"/>
        <vertAlign val="baseline"/>
        <sz val="11"/>
        <color theme="1"/>
        <name val="Calibri"/>
        <family val="2"/>
        <charset val="238"/>
        <scheme val="minor"/>
      </font>
      <numFmt numFmtId="167" formatCode="0.0%"/>
    </dxf>
    <dxf>
      <numFmt numFmtId="35" formatCode="_-* #,##0.00_-;\-* #,##0.00_-;_-* &quot;-&quot;??_-;_-@_-"/>
    </dxf>
    <dxf>
      <numFmt numFmtId="35" formatCode="_-* #,##0.00_-;\-* #,##0.00_-;_-* &quot;-&quot;??_-;_-@_-"/>
    </dxf>
    <dxf>
      <numFmt numFmtId="35" formatCode="_-* #,##0.00_-;\-* #,##0.00_-;_-* &quot;-&quot;??_-;_-@_-"/>
    </dxf>
    <dxf>
      <alignment horizontal="general" vertical="bottom" textRotation="0" wrapText="1" indent="0" justifyLastLine="0" shrinkToFit="0" readingOrder="0"/>
    </dxf>
    <dxf>
      <font>
        <b val="0"/>
        <i val="0"/>
        <strike val="0"/>
        <condense val="0"/>
        <extend val="0"/>
        <outline val="0"/>
        <shadow val="0"/>
        <u val="none"/>
        <vertAlign val="baseline"/>
        <sz val="11"/>
        <color theme="1"/>
        <name val="Calibri"/>
        <family val="2"/>
        <charset val="238"/>
        <scheme val="minor"/>
      </font>
      <numFmt numFmtId="164" formatCode="_-* #,##0_-;\-* #,##0_-;_-* &quot;-&quot;??_-;_-@_-"/>
    </dxf>
    <dxf>
      <font>
        <b val="0"/>
        <i val="0"/>
        <strike val="0"/>
        <condense val="0"/>
        <extend val="0"/>
        <outline val="0"/>
        <shadow val="0"/>
        <u val="none"/>
        <vertAlign val="baseline"/>
        <sz val="11"/>
        <color theme="1"/>
        <name val="Calibri"/>
        <family val="2"/>
        <charset val="238"/>
        <scheme val="minor"/>
      </font>
      <numFmt numFmtId="14" formatCode="0.00%"/>
    </dxf>
    <dxf>
      <font>
        <b val="0"/>
        <i val="0"/>
        <strike val="0"/>
        <condense val="0"/>
        <extend val="0"/>
        <outline val="0"/>
        <shadow val="0"/>
        <u val="none"/>
        <vertAlign val="baseline"/>
        <sz val="11"/>
        <color theme="1"/>
        <name val="Calibri"/>
        <family val="2"/>
        <charset val="238"/>
        <scheme val="minor"/>
      </font>
      <numFmt numFmtId="164" formatCode="_-* #,##0_-;\-* #,##0_-;_-* &quot;-&quot;??_-;_-@_-"/>
    </dxf>
    <dxf>
      <alignment horizontal="general" vertical="bottom" textRotation="0" wrapText="1" indent="0" justifyLastLine="0" shrinkToFit="0" readingOrder="0"/>
    </dxf>
    <dxf>
      <alignment horizontal="general" vertical="bottom" textRotation="0" wrapText="1" indent="0" justifyLastLine="0" shrinkToFit="0" readingOrder="0"/>
    </dxf>
    <dxf>
      <font>
        <b/>
        <i val="0"/>
        <strike val="0"/>
        <condense val="0"/>
        <extend val="0"/>
        <outline val="0"/>
        <shadow val="0"/>
        <u val="none"/>
        <vertAlign val="baseline"/>
        <sz val="11"/>
        <color theme="1"/>
        <name val="Calibri"/>
        <family val="2"/>
        <charset val="238"/>
        <scheme val="minor"/>
      </font>
      <numFmt numFmtId="164" formatCode="_-* #,##0_-;\-* #,##0_-;_-* &quot;-&quot;??_-;_-@_-"/>
    </dxf>
    <dxf>
      <font>
        <b/>
      </font>
    </dxf>
    <dxf>
      <font>
        <b/>
      </font>
      <alignment horizontal="general" vertical="bottom" textRotation="0" wrapText="1" indent="0" justifyLastLine="0" shrinkToFit="0" readingOrder="0"/>
    </dxf>
    <dxf>
      <alignment horizontal="general" vertical="bottom" textRotation="0" wrapText="1" indent="0" justifyLastLine="0" shrinkToFit="0" readingOrder="0"/>
    </dxf>
    <dxf>
      <font>
        <b/>
      </font>
    </dxf>
    <dxf>
      <alignment horizontal="general" vertical="bottom" textRotation="0" wrapText="1" indent="0" justifyLastLine="0" shrinkToFit="0" readingOrder="0"/>
    </dxf>
    <dxf>
      <numFmt numFmtId="164" formatCode="_-* #,##0_-;\-* #,##0_-;_-* &quot;-&quot;??_-;_-@_-"/>
    </dxf>
    <dxf>
      <alignment horizontal="general" vertical="bottom" textRotation="0" wrapText="1" indent="0" justifyLastLine="0" shrinkToFit="0" readingOrder="0"/>
    </dxf>
    <dxf>
      <numFmt numFmtId="164" formatCode="_-* #,##0_-;\-* #,##0_-;_-* &quot;-&quot;??_-;_-@_-"/>
    </dxf>
    <dxf>
      <font>
        <b val="0"/>
        <i val="0"/>
        <strike val="0"/>
        <condense val="0"/>
        <extend val="0"/>
        <outline val="0"/>
        <shadow val="0"/>
        <u val="none"/>
        <vertAlign val="baseline"/>
        <sz val="11"/>
        <color theme="1"/>
        <name val="Calibri"/>
        <family val="2"/>
        <charset val="238"/>
        <scheme val="minor"/>
      </font>
      <numFmt numFmtId="164" formatCode="_-* #,##0_-;\-* #,##0_-;_-* &quot;-&quot;??_-;_-@_-"/>
    </dxf>
    <dxf>
      <alignment horizontal="general" vertical="bottom" textRotation="0" wrapText="1" indent="0" justifyLastLine="0" shrinkToFit="0" readingOrder="0"/>
    </dxf>
    <dxf>
      <font>
        <b/>
        <i val="0"/>
        <strike val="0"/>
        <condense val="0"/>
        <extend val="0"/>
        <outline val="0"/>
        <shadow val="0"/>
        <u val="none"/>
        <vertAlign val="baseline"/>
        <sz val="11"/>
        <color theme="1"/>
        <name val="Calibri"/>
        <family val="2"/>
        <charset val="238"/>
        <scheme val="minor"/>
      </font>
      <numFmt numFmtId="164" formatCode="_-* #,##0_-;\-* #,##0_-;_-* &quot;-&quot;??_-;_-@_-"/>
      <fill>
        <patternFill patternType="solid">
          <fgColor indexed="64"/>
          <bgColor rgb="FF00B0F0"/>
        </patternFill>
      </fill>
      <alignment horizontal="general" vertical="bottom" textRotation="0" wrapText="1" indent="0" justifyLastLine="0" shrinkToFit="0" readingOrder="0"/>
    </dxf>
    <dxf>
      <numFmt numFmtId="164" formatCode="_-* #,##0_-;\-* #,##0_-;_-* &quot;-&quot;??_-;_-@_-"/>
      <fill>
        <patternFill patternType="solid">
          <fgColor indexed="64"/>
          <bgColor rgb="FF00B0F0"/>
        </patternFill>
      </fill>
      <alignment horizontal="general" vertical="bottom" textRotation="0" wrapText="1" indent="0" justifyLastLine="0" shrinkToFit="0" readingOrder="0"/>
    </dxf>
    <dxf>
      <numFmt numFmtId="164" formatCode="_-* #,##0_-;\-* #,##0_-;_-* &quot;-&quot;??_-;_-@_-"/>
      <fill>
        <patternFill patternType="solid">
          <fgColor indexed="64"/>
          <bgColor rgb="FF00B0F0"/>
        </patternFill>
      </fill>
      <alignment horizontal="general" vertical="bottom" textRotation="0" wrapText="1" indent="0" justifyLastLine="0" shrinkToFit="0" readingOrder="0"/>
    </dxf>
    <dxf>
      <font>
        <b/>
        <i val="0"/>
        <strike val="0"/>
        <condense val="0"/>
        <extend val="0"/>
        <outline val="0"/>
        <shadow val="0"/>
        <u val="none"/>
        <vertAlign val="baseline"/>
        <sz val="11"/>
        <color auto="1"/>
        <name val="Calibri"/>
        <family val="2"/>
        <charset val="238"/>
        <scheme val="none"/>
      </font>
      <fill>
        <patternFill patternType="solid">
          <fgColor indexed="64"/>
          <bgColor rgb="FF00B0F0"/>
        </patternFill>
      </fill>
      <alignment horizontal="general" vertical="bottom" textRotation="0" wrapText="1" indent="0" justifyLastLine="0" shrinkToFit="0" readingOrder="0"/>
    </dxf>
    <dxf>
      <numFmt numFmtId="164" formatCode="_-* #,##0_-;\-* #,##0_-;_-* &quot;-&quot;??_-;_-@_-"/>
    </dxf>
    <dxf>
      <alignment horizontal="general" vertical="bottom" textRotation="0" wrapText="1" indent="0" justifyLastLine="0" shrinkToFit="0" readingOrder="0"/>
    </dxf>
    <dxf>
      <numFmt numFmtId="164" formatCode="_-* #,##0_-;\-* #,##0_-;_-* &quot;-&quot;??_-;_-@_-"/>
    </dxf>
    <dxf>
      <font>
        <b val="0"/>
        <i val="0"/>
        <strike val="0"/>
        <condense val="0"/>
        <extend val="0"/>
        <outline val="0"/>
        <shadow val="0"/>
        <u val="none"/>
        <vertAlign val="baseline"/>
        <sz val="11"/>
        <color auto="1"/>
        <name val="Calibri"/>
        <family val="2"/>
        <charset val="238"/>
        <scheme val="none"/>
      </font>
      <numFmt numFmtId="164" formatCode="_-* #,##0_-;\-* #,##0_-;_-* &quot;-&quot;??_-;_-@_-"/>
      <alignment horizontal="general" vertical="bottom" textRotation="0" wrapText="1" indent="0" justifyLastLine="0" shrinkToFit="0" readingOrder="0"/>
    </dxf>
    <dxf>
      <font>
        <b val="0"/>
        <i val="0"/>
        <strike val="0"/>
        <condense val="0"/>
        <extend val="0"/>
        <outline val="0"/>
        <shadow val="0"/>
        <u val="none"/>
        <vertAlign val="baseline"/>
        <sz val="11"/>
        <color auto="1"/>
        <name val="Calibri"/>
        <family val="2"/>
        <charset val="238"/>
        <scheme val="none"/>
      </font>
      <numFmt numFmtId="164" formatCode="_-* #,##0_-;\-* #,##0_-;_-* &quot;-&quot;??_-;_-@_-"/>
      <alignment horizontal="general" vertical="bottom" textRotation="0" wrapText="1" indent="0" justifyLastLine="0" shrinkToFit="0" readingOrder="0"/>
    </dxf>
    <dxf>
      <font>
        <b val="0"/>
        <i val="0"/>
        <strike val="0"/>
        <condense val="0"/>
        <extend val="0"/>
        <outline val="0"/>
        <shadow val="0"/>
        <u val="none"/>
        <vertAlign val="baseline"/>
        <sz val="11"/>
        <color auto="1"/>
        <name val="Calibri"/>
        <family val="2"/>
        <charset val="238"/>
        <scheme val="none"/>
      </font>
      <numFmt numFmtId="164" formatCode="_-* #,##0_-;\-* #,##0_-;_-* &quot;-&quot;??_-;_-@_-"/>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ont>
        <b val="0"/>
        <i val="0"/>
        <strike val="0"/>
        <condense val="0"/>
        <extend val="0"/>
        <outline val="0"/>
        <shadow val="0"/>
        <u val="none"/>
        <vertAlign val="baseline"/>
        <sz val="11"/>
        <color auto="1"/>
        <name val="Calibri"/>
        <family val="2"/>
        <charset val="238"/>
        <scheme val="none"/>
      </font>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numFmt numFmtId="165" formatCode="#,##0.0"/>
    </dxf>
    <dxf>
      <numFmt numFmtId="165" formatCode="#,##0.0"/>
    </dxf>
    <dxf>
      <numFmt numFmtId="165" formatCode="#,##0.0"/>
    </dxf>
    <dxf>
      <numFmt numFmtId="165" formatCode="#,##0.0"/>
    </dxf>
    <dxf>
      <border outline="0">
        <top style="thin">
          <color rgb="FF000000"/>
        </top>
      </border>
    </dxf>
    <dxf>
      <border outline="0">
        <bottom style="thin">
          <color rgb="FF000000"/>
        </bottom>
      </border>
    </dxf>
    <dxf>
      <border diagonalUp="0" diagonalDown="0" outline="0">
        <left style="thin">
          <color rgb="FF000000"/>
        </left>
        <right style="thin">
          <color rgb="FF000000"/>
        </right>
        <top/>
        <bottom/>
      </border>
    </dxf>
    <dxf>
      <font>
        <b val="0"/>
        <i val="0"/>
        <strike val="0"/>
        <condense val="0"/>
        <extend val="0"/>
        <outline val="0"/>
        <shadow val="0"/>
        <u val="none"/>
        <vertAlign val="baseline"/>
        <sz val="11"/>
        <color theme="1"/>
        <name val="Calibri"/>
        <family val="2"/>
        <charset val="238"/>
        <scheme val="minor"/>
      </font>
    </dxf>
    <dxf>
      <alignment horizontal="general" vertical="center" textRotation="0" wrapText="0" indent="0" justifyLastLine="0" shrinkToFit="0" readingOrder="0"/>
    </dxf>
    <dxf>
      <font>
        <b val="0"/>
        <i val="0"/>
        <strike val="0"/>
        <condense val="0"/>
        <extend val="0"/>
        <outline val="0"/>
        <shadow val="0"/>
        <u val="none"/>
        <vertAlign val="baseline"/>
        <sz val="10"/>
        <color theme="1"/>
        <name val="Arial"/>
        <family val="2"/>
        <charset val="238"/>
        <scheme val="none"/>
      </font>
      <alignment horizontal="justify" vertical="center" textRotation="0" wrapText="0" indent="0" justifyLastLine="0" shrinkToFit="0" readingOrder="0"/>
      <border diagonalUp="0" diagonalDown="0">
        <left/>
        <right style="medium">
          <color rgb="FFC0C0C0"/>
        </right>
        <top/>
        <bottom style="medium">
          <color rgb="FFC0C0C0"/>
        </bottom>
        <vertical/>
        <horizontal/>
      </border>
    </dxf>
    <dxf>
      <font>
        <b val="0"/>
        <i val="0"/>
        <strike val="0"/>
        <condense val="0"/>
        <extend val="0"/>
        <outline val="0"/>
        <shadow val="0"/>
        <u val="none"/>
        <vertAlign val="baseline"/>
        <sz val="10"/>
        <color theme="1"/>
        <name val="Arial"/>
        <family val="2"/>
        <charset val="238"/>
        <scheme val="none"/>
      </font>
      <alignment horizontal="justify" vertical="center" textRotation="0" wrapText="1" indent="0" justifyLastLine="0" shrinkToFit="0" readingOrder="0"/>
      <border diagonalUp="0" diagonalDown="0">
        <left style="medium">
          <color rgb="FFC0C0C0"/>
        </left>
        <right style="medium">
          <color rgb="FFC0C0C0"/>
        </right>
        <top/>
        <bottom style="medium">
          <color rgb="FFC0C0C0"/>
        </bottom>
        <vertical/>
        <horizontal/>
      </border>
    </dxf>
    <dxf>
      <border outline="0">
        <bottom style="medium">
          <color rgb="FFC0C0C0"/>
        </bottom>
      </border>
    </dxf>
    <dxf>
      <numFmt numFmtId="164" formatCode="_-* #,##0_-;\-* #,##0_-;_-* &quot;-&quot;??_-;_-@_-"/>
    </dxf>
    <dxf>
      <font>
        <b val="0"/>
        <i val="0"/>
        <strike val="0"/>
        <condense val="0"/>
        <extend val="0"/>
        <outline val="0"/>
        <shadow val="0"/>
        <u val="none"/>
        <vertAlign val="baseline"/>
        <sz val="11"/>
        <color rgb="FF000000"/>
        <name val="Calibri"/>
        <family val="2"/>
        <charset val="238"/>
        <scheme val="none"/>
      </font>
      <numFmt numFmtId="164" formatCode="_-* #,##0_-;\-* #,##0_-;_-* &quot;-&quot;??_-;_-@_-"/>
      <alignment horizontal="general" vertical="center" textRotation="0" wrapText="0" indent="0" justifyLastLine="0" shrinkToFit="0" readingOrder="0"/>
    </dxf>
    <dxf>
      <font>
        <b val="0"/>
        <i val="0"/>
        <strike val="0"/>
        <condense val="0"/>
        <extend val="0"/>
        <outline val="0"/>
        <shadow val="0"/>
        <u val="none"/>
        <vertAlign val="baseline"/>
        <sz val="11"/>
        <color rgb="FF000000"/>
        <name val="Calibri"/>
        <family val="2"/>
        <charset val="238"/>
        <scheme val="none"/>
      </font>
      <numFmt numFmtId="164" formatCode="_-* #,##0_-;\-* #,##0_-;_-* &quot;-&quot;??_-;_-@_-"/>
      <alignment horizontal="general" vertical="center" textRotation="0" wrapText="0" indent="0" justifyLastLine="0" shrinkToFit="0" readingOrder="0"/>
    </dxf>
    <dxf>
      <font>
        <b val="0"/>
        <i val="0"/>
        <strike val="0"/>
        <condense val="0"/>
        <extend val="0"/>
        <outline val="0"/>
        <shadow val="0"/>
        <u val="none"/>
        <vertAlign val="baseline"/>
        <sz val="11"/>
        <color rgb="FF000000"/>
        <name val="Calibri"/>
        <family val="2"/>
        <charset val="238"/>
        <scheme val="none"/>
      </font>
      <numFmt numFmtId="164" formatCode="_-* #,##0_-;\-* #,##0_-;_-* &quot;-&quot;??_-;_-@_-"/>
      <alignment horizontal="center" vertical="bottom" textRotation="0" wrapText="0" indent="0" justifyLastLine="0" shrinkToFit="0" readingOrder="0"/>
    </dxf>
    <dxf>
      <font>
        <b val="0"/>
        <i val="0"/>
        <strike val="0"/>
        <condense val="0"/>
        <extend val="0"/>
        <outline val="0"/>
        <shadow val="0"/>
        <u val="none"/>
        <vertAlign val="baseline"/>
        <sz val="11"/>
        <color rgb="FF000000"/>
        <name val="Calibri"/>
        <family val="2"/>
        <charset val="238"/>
        <scheme val="none"/>
      </font>
      <numFmt numFmtId="164" formatCode="_-* #,##0_-;\-* #,##0_-;_-* &quot;-&quot;??_-;_-@_-"/>
      <alignment horizontal="right" vertical="center" textRotation="0" wrapText="0" indent="0" justifyLastLine="0" shrinkToFit="0" readingOrder="0"/>
    </dxf>
    <dxf>
      <font>
        <b val="0"/>
        <i val="0"/>
        <strike val="0"/>
        <condense val="0"/>
        <extend val="0"/>
        <outline val="0"/>
        <shadow val="0"/>
        <u val="none"/>
        <vertAlign val="baseline"/>
        <sz val="11"/>
        <color rgb="FF000000"/>
        <name val="Calibri"/>
        <family val="2"/>
        <charset val="238"/>
        <scheme val="none"/>
      </font>
      <alignment horizontal="general" vertical="center" textRotation="0" wrapText="1" indent="0" justifyLastLine="0" shrinkToFit="0" readingOrder="0"/>
    </dxf>
    <dxf>
      <alignment horizontal="center" vertical="bottom" textRotation="0" wrapText="0" indent="0" justifyLastLine="0" shrinkToFit="0" readingOrder="0"/>
    </dxf>
    <dxf>
      <alignment horizontal="right" vertical="bottom" textRotation="0" wrapText="1" indent="0" justifyLastLine="0" shrinkToFit="0" readingOrder="0"/>
    </dxf>
    <dxf>
      <numFmt numFmtId="165" formatCode="#,##0.0"/>
    </dxf>
    <dxf>
      <font>
        <b val="0"/>
        <i val="0"/>
        <strike val="0"/>
        <condense val="0"/>
        <extend val="0"/>
        <outline val="0"/>
        <shadow val="0"/>
        <u val="none"/>
        <vertAlign val="baseline"/>
        <sz val="11"/>
        <color theme="1"/>
        <name val="Calibri"/>
        <family val="2"/>
        <charset val="238"/>
        <scheme val="minor"/>
      </font>
      <numFmt numFmtId="14" formatCode="0.00%"/>
    </dxf>
    <dxf>
      <font>
        <b val="0"/>
        <i val="0"/>
        <strike val="0"/>
        <condense val="0"/>
        <extend val="0"/>
        <outline val="0"/>
        <shadow val="0"/>
        <u val="none"/>
        <vertAlign val="baseline"/>
        <sz val="9"/>
        <color theme="1"/>
        <name val="Calibri"/>
        <family val="2"/>
        <charset val="238"/>
        <scheme val="minor"/>
      </font>
      <numFmt numFmtId="3" formatCode="#,##0"/>
      <alignment horizontal="right" vertical="center" textRotation="0" wrapText="1" indent="0" justifyLastLine="0" shrinkToFit="0" readingOrder="0"/>
    </dxf>
    <dxf>
      <font>
        <b val="0"/>
        <i val="0"/>
        <strike val="0"/>
        <condense val="0"/>
        <extend val="0"/>
        <outline val="0"/>
        <shadow val="0"/>
        <u val="none"/>
        <vertAlign val="baseline"/>
        <sz val="9"/>
        <color theme="1"/>
        <name val="Calibri"/>
        <family val="2"/>
        <charset val="238"/>
        <scheme val="minor"/>
      </font>
      <alignment horizontal="general" vertical="center" textRotation="0" wrapText="0" indent="0" justifyLastLine="0" shrinkToFit="0" readingOrder="0"/>
    </dxf>
    <dxf>
      <alignment horizontal="general" vertical="bottom" textRotation="0" wrapText="1" indent="0" justifyLastLine="0" shrinkToFit="0" readingOrder="0"/>
    </dxf>
    <dxf>
      <font>
        <b val="0"/>
        <i val="0"/>
        <strike val="0"/>
        <condense val="0"/>
        <extend val="0"/>
        <outline val="0"/>
        <shadow val="0"/>
        <u val="none"/>
        <vertAlign val="baseline"/>
        <sz val="11"/>
        <color theme="1"/>
        <name val="Calibri"/>
        <family val="2"/>
        <charset val="238"/>
        <scheme val="minor"/>
      </font>
      <numFmt numFmtId="164" formatCode="_-* #,##0_-;\-* #,##0_-;_-* &quot;-&quot;??_-;_-@_-"/>
    </dxf>
    <dxf>
      <alignment vertical="bottom" textRotation="0" wrapText="1" indent="0" justifyLastLine="0" shrinkToFit="0" readingOrder="0"/>
    </dxf>
    <dxf>
      <font>
        <b val="0"/>
        <i val="0"/>
        <strike val="0"/>
        <condense val="0"/>
        <extend val="0"/>
        <outline val="0"/>
        <shadow val="0"/>
        <u val="none"/>
        <vertAlign val="baseline"/>
        <sz val="11"/>
        <color theme="1"/>
        <name val="Calibri"/>
        <family val="2"/>
        <charset val="238"/>
        <scheme val="minor"/>
      </font>
      <numFmt numFmtId="164" formatCode="_-* #,##0_-;\-* #,##0_-;_-* &quot;-&quot;??_-;_-@_-"/>
    </dxf>
    <dxf>
      <alignment vertical="bottom" textRotation="0" wrapText="1" indent="0" justifyLastLine="0" shrinkToFit="0" readingOrder="0"/>
    </dxf>
    <dxf>
      <font>
        <b/>
        <i val="0"/>
        <strike val="0"/>
        <condense val="0"/>
        <extend val="0"/>
        <outline val="0"/>
        <shadow val="0"/>
        <u val="none"/>
        <vertAlign val="baseline"/>
        <sz val="11"/>
        <color theme="0"/>
        <name val="Calibri"/>
        <family val="2"/>
        <charset val="238"/>
        <scheme val="minor"/>
      </font>
      <fill>
        <patternFill patternType="solid">
          <fgColor theme="4"/>
          <bgColor theme="4"/>
        </patternFill>
      </fill>
    </dxf>
    <dxf>
      <numFmt numFmtId="0" formatCode="General"/>
    </dxf>
    <dxf>
      <numFmt numFmtId="0" formatCode="General"/>
    </dxf>
    <dxf>
      <font>
        <b val="0"/>
        <i val="0"/>
        <strike val="0"/>
        <condense val="0"/>
        <extend val="0"/>
        <outline val="0"/>
        <shadow val="0"/>
        <u val="none"/>
        <vertAlign val="baseline"/>
        <sz val="11"/>
        <color theme="1"/>
        <name val="Calibri"/>
        <family val="2"/>
        <charset val="238"/>
        <scheme val="minor"/>
      </font>
      <numFmt numFmtId="164" formatCode="_-* #,##0_-;\-* #,##0_-;_-* &quot;-&quot;??_-;_-@_-"/>
    </dxf>
    <dxf>
      <alignment horizontal="general" vertical="bottom" textRotation="0" wrapText="1" indent="0" justifyLastLine="0" shrinkToFit="0" readingOrder="0"/>
    </dxf>
    <dxf>
      <alignment horizontal="left" vertical="bottom" textRotation="0" indent="0" justifyLastLine="0" shrinkToFit="0" readingOrder="0"/>
    </dxf>
    <dxf>
      <alignment horizontal="center" vertical="center" textRotation="0" wrapText="0" indent="0" justifyLastLine="0" shrinkToFit="0" readingOrder="0"/>
    </dxf>
    <dxf>
      <numFmt numFmtId="0" formatCode="General"/>
    </dxf>
    <dxf>
      <alignment horizontal="center" vertical="center" textRotation="0" wrapText="0" indent="0" justifyLastLine="0" shrinkToFit="0" readingOrder="0"/>
    </dxf>
    <dxf>
      <font>
        <b val="0"/>
        <i val="0"/>
        <strike val="0"/>
        <condense val="0"/>
        <extend val="0"/>
        <outline val="0"/>
        <shadow val="0"/>
        <u val="none"/>
        <vertAlign val="baseline"/>
        <sz val="11"/>
        <color theme="1"/>
        <name val="Calibri"/>
        <family val="2"/>
        <charset val="238"/>
        <scheme val="minor"/>
      </font>
      <numFmt numFmtId="164" formatCode="_-* #,##0_-;\-* #,##0_-;_-* &quot;-&quot;??_-;_-@_-"/>
    </dxf>
    <dxf>
      <font>
        <b val="0"/>
        <i val="0"/>
        <strike val="0"/>
        <condense val="0"/>
        <extend val="0"/>
        <outline val="0"/>
        <shadow val="0"/>
        <u val="none"/>
        <vertAlign val="baseline"/>
        <sz val="11"/>
        <color theme="1"/>
        <name val="Calibri"/>
        <family val="2"/>
        <charset val="238"/>
        <scheme val="minor"/>
      </font>
      <numFmt numFmtId="164" formatCode="_-* #,##0_-;\-* #,##0_-;_-* &quot;-&quot;??_-;_-@_-"/>
    </dxf>
    <dxf>
      <font>
        <b val="0"/>
        <i val="0"/>
        <strike val="0"/>
        <condense val="0"/>
        <extend val="0"/>
        <outline val="0"/>
        <shadow val="0"/>
        <u val="none"/>
        <vertAlign val="baseline"/>
        <sz val="11"/>
        <color theme="1"/>
        <name val="Calibri"/>
        <family val="2"/>
        <charset val="238"/>
        <scheme val="minor"/>
      </font>
      <numFmt numFmtId="164" formatCode="_-* #,##0_-;\-* #,##0_-;_-* &quot;-&quot;??_-;_-@_-"/>
    </dxf>
    <dxf>
      <alignment horizontal="center" vertical="center" textRotation="0" wrapText="0" indent="0" justifyLastLine="0" shrinkToFit="0" readingOrder="0"/>
    </dxf>
    <dxf>
      <numFmt numFmtId="164" formatCode="_-* #,##0_-;\-* #,##0_-;_-* &quot;-&quot;??_-;_-@_-"/>
    </dxf>
    <dxf>
      <border outline="0">
        <top style="thin">
          <color theme="4" tint="0.39997558519241921"/>
        </top>
      </border>
    </dxf>
    <dxf>
      <border outline="0">
        <bottom style="thin">
          <color theme="4" tint="0.39997558519241921"/>
        </bottom>
      </border>
    </dxf>
    <dxf>
      <border outline="0">
        <top style="thin">
          <color theme="4" tint="0.39997558519241921"/>
        </top>
      </border>
    </dxf>
    <dxf>
      <border outline="0">
        <bottom style="thin">
          <color theme="4" tint="0.39997558519241921"/>
        </bottom>
      </border>
    </dxf>
    <dxf>
      <font>
        <b/>
        <i val="0"/>
        <strike val="0"/>
        <condense val="0"/>
        <extend val="0"/>
        <outline val="0"/>
        <shadow val="0"/>
        <u val="none"/>
        <vertAlign val="baseline"/>
        <sz val="11"/>
        <color theme="0"/>
        <name val="Calibri"/>
        <family val="2"/>
        <charset val="238"/>
        <scheme val="minor"/>
      </font>
      <fill>
        <patternFill patternType="solid">
          <fgColor theme="4"/>
          <bgColor theme="4"/>
        </patternFill>
      </fill>
    </dxf>
    <dxf>
      <numFmt numFmtId="0" formatCode="General"/>
    </dxf>
    <dxf>
      <alignment horizontal="center" vertical="center" textRotation="0" wrapText="0" indent="0" justifyLastLine="0" shrinkToFit="0" readingOrder="0"/>
    </dxf>
    <dxf>
      <font>
        <b val="0"/>
        <i val="0"/>
        <strike val="0"/>
        <condense val="0"/>
        <extend val="0"/>
        <outline val="0"/>
        <shadow val="0"/>
        <u val="none"/>
        <vertAlign val="baseline"/>
        <sz val="11"/>
        <color theme="1"/>
        <name val="Calibri"/>
        <family val="2"/>
        <charset val="238"/>
        <scheme val="minor"/>
      </font>
      <numFmt numFmtId="164" formatCode="_-* #,##0_-;\-* #,##0_-;_-* &quot;-&quot;??_-;_-@_-"/>
    </dxf>
    <dxf>
      <font>
        <b val="0"/>
        <i val="0"/>
        <strike val="0"/>
        <condense val="0"/>
        <extend val="0"/>
        <outline val="0"/>
        <shadow val="0"/>
        <u val="none"/>
        <vertAlign val="baseline"/>
        <sz val="11"/>
        <color theme="1"/>
        <name val="Calibri"/>
        <family val="2"/>
        <charset val="238"/>
        <scheme val="minor"/>
      </font>
      <numFmt numFmtId="164"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U:\Folder%20per%20dossier\RMMS%20-%20Rail%20Market%20Monitoring%20Scheme\6th%20RMMS%20Report\Sixth%20RMMS%20Report\FOR%20PUBLICATION\Base%20-%20RMMS%206%20Databook%20Final%20Linke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fo"/>
      <sheetName val="CellStyles"/>
      <sheetName val="DataFlows"/>
      <sheetName val="Dashboard"/>
      <sheetName val="I_MSFeedback"/>
      <sheetName val="Inputs &gt;&gt;&gt;"/>
      <sheetName val="I_Ranges"/>
      <sheetName val="I_RMMS6_2018"/>
      <sheetName val="I_StatisticalPocketbook"/>
      <sheetName val="I_StatisticalPocketbook2017"/>
      <sheetName val="I_StatisticalPocketbook2018"/>
      <sheetName val="I_Other"/>
      <sheetName val="I_IRG March 2018"/>
      <sheetName val="I_RMMS5 Exp_2016"/>
      <sheetName val="I_RMMS5 Vol_2016"/>
      <sheetName val="Outputs ID &gt;&gt;&gt;"/>
      <sheetName val="1"/>
      <sheetName val="2"/>
      <sheetName val="3"/>
      <sheetName val="4"/>
      <sheetName val="5"/>
      <sheetName val="6"/>
      <sheetName val="7"/>
      <sheetName val="8"/>
      <sheetName val="9"/>
      <sheetName val="10"/>
      <sheetName val="11"/>
      <sheetName val="12"/>
      <sheetName val="13"/>
      <sheetName val="15"/>
      <sheetName val="14"/>
      <sheetName val="16"/>
      <sheetName val="17 "/>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7"/>
      <sheetName val="78"/>
      <sheetName val="79"/>
      <sheetName val="80"/>
      <sheetName val="81"/>
      <sheetName val="82"/>
      <sheetName val="83"/>
      <sheetName val="84 "/>
      <sheetName val="85"/>
      <sheetName val="86"/>
      <sheetName val="87"/>
      <sheetName val="88"/>
      <sheetName val="89"/>
      <sheetName val="90"/>
      <sheetName val="91"/>
      <sheetName val="92"/>
      <sheetName val="93"/>
      <sheetName val="94"/>
      <sheetName val="95"/>
      <sheetName val="96"/>
      <sheetName val="97"/>
      <sheetName val="98"/>
      <sheetName val="99"/>
      <sheetName val="100"/>
      <sheetName val="101"/>
      <sheetName val="102"/>
      <sheetName val="103"/>
      <sheetName val="104"/>
      <sheetName val="105"/>
      <sheetName val="106"/>
      <sheetName val="107"/>
      <sheetName val="108"/>
      <sheetName val="109"/>
      <sheetName val="110"/>
      <sheetName val="111"/>
      <sheetName val="112"/>
      <sheetName val="113"/>
      <sheetName val="114"/>
      <sheetName val="115"/>
      <sheetName val="116"/>
      <sheetName val="117"/>
      <sheetName val="118"/>
      <sheetName val="119"/>
      <sheetName val="120"/>
      <sheetName val="121"/>
      <sheetName val="122"/>
    </sheetNames>
    <sheetDataSet>
      <sheetData sheetId="0" refreshError="1"/>
      <sheetData sheetId="1">
        <row r="11">
          <cell r="D11" t="str">
            <v>Base - RMMS 6 Databook Final Linked.xlsx</v>
          </cell>
        </row>
        <row r="221">
          <cell r="E221">
            <v>139</v>
          </cell>
        </row>
      </sheetData>
      <sheetData sheetId="2" refreshError="1"/>
      <sheetData sheetId="3" refreshError="1"/>
      <sheetData sheetId="4"/>
      <sheetData sheetId="5" refreshError="1"/>
      <sheetData sheetId="6" refreshError="1"/>
      <sheetData sheetId="7">
        <row r="11">
          <cell r="E11" t="str">
            <v>Member State Name</v>
          </cell>
        </row>
      </sheetData>
      <sheetData sheetId="8"/>
      <sheetData sheetId="9" refreshError="1"/>
      <sheetData sheetId="10" refreshError="1"/>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ow r="120">
          <cell r="D120" t="str">
            <v>Main infrastructure managers staff</v>
          </cell>
        </row>
      </sheetData>
      <sheetData sheetId="103" refreshError="1"/>
      <sheetData sheetId="104" refreshError="1"/>
      <sheetData sheetId="105" refreshError="1"/>
      <sheetData sheetId="106" refreshError="1"/>
      <sheetData sheetId="107" refreshError="1"/>
      <sheetData sheetId="108"/>
      <sheetData sheetId="109">
        <row r="16">
          <cell r="E16" t="str">
            <v>Permanent</v>
          </cell>
        </row>
      </sheetData>
      <sheetData sheetId="110">
        <row r="16">
          <cell r="E16" t="str">
            <v>Full time</v>
          </cell>
        </row>
      </sheetData>
      <sheetData sheetId="111">
        <row r="16">
          <cell r="E16" t="str">
            <v>Full time</v>
          </cell>
        </row>
      </sheetData>
      <sheetData sheetId="112">
        <row r="16">
          <cell r="E16" t="str">
            <v>Apprenticeship/trainee</v>
          </cell>
        </row>
      </sheetData>
      <sheetData sheetId="113">
        <row r="16">
          <cell r="E16" t="str">
            <v>Apprenticeship/trainee</v>
          </cell>
        </row>
      </sheetData>
      <sheetData sheetId="114" refreshError="1"/>
      <sheetData sheetId="115" refreshError="1"/>
      <sheetData sheetId="116" refreshError="1"/>
      <sheetData sheetId="117" refreshError="1"/>
      <sheetData sheetId="118">
        <row r="15">
          <cell r="E15">
            <v>2014</v>
          </cell>
        </row>
      </sheetData>
      <sheetData sheetId="119">
        <row r="15">
          <cell r="E15">
            <v>2014</v>
          </cell>
        </row>
      </sheetData>
      <sheetData sheetId="120">
        <row r="15">
          <cell r="E15">
            <v>2014</v>
          </cell>
        </row>
      </sheetData>
      <sheetData sheetId="121">
        <row r="15">
          <cell r="E15">
            <v>2014</v>
          </cell>
        </row>
      </sheetData>
      <sheetData sheetId="122">
        <row r="15">
          <cell r="E15" t="str">
            <v>Domestic</v>
          </cell>
        </row>
      </sheetData>
      <sheetData sheetId="123">
        <row r="15">
          <cell r="E15" t="str">
            <v>Domestic</v>
          </cell>
        </row>
      </sheetData>
      <sheetData sheetId="124">
        <row r="15">
          <cell r="E15" t="str">
            <v>Domestic</v>
          </cell>
        </row>
      </sheetData>
      <sheetData sheetId="125">
        <row r="15">
          <cell r="H15" t="str">
            <v>Fatalities per billion p-km</v>
          </cell>
        </row>
      </sheetData>
      <sheetData sheetId="126">
        <row r="15">
          <cell r="E15" t="str">
            <v>Fatalities</v>
          </cell>
        </row>
      </sheetData>
      <sheetData sheetId="127">
        <row r="15">
          <cell r="E15" t="str">
            <v>2012</v>
          </cell>
        </row>
      </sheetData>
      <sheetData sheetId="128" refreshError="1"/>
      <sheetData sheetId="129" refreshError="1"/>
      <sheetData sheetId="130" refreshError="1"/>
      <sheetData sheetId="131" refreshError="1"/>
      <sheetData sheetId="132">
        <row r="15">
          <cell r="E15" t="str">
            <v>Passenger revenue per passenger train-kilometre</v>
          </cell>
        </row>
      </sheetData>
      <sheetData sheetId="133">
        <row r="15">
          <cell r="E15" t="str">
            <v>Freight revenue per freight train-kilometre</v>
          </cell>
        </row>
      </sheetData>
      <sheetData sheetId="134">
        <row r="16">
          <cell r="D16" t="str">
            <v>NL</v>
          </cell>
        </row>
      </sheetData>
      <sheetData sheetId="135">
        <row r="16">
          <cell r="D16" t="str">
            <v>IT</v>
          </cell>
        </row>
      </sheetData>
      <sheetData sheetId="136" refreshError="1"/>
      <sheetData sheetId="137" refreshError="1"/>
      <sheetData sheetId="138"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BBA6328E-1B22-4BA8-8770-9F7387E895B6}" name="Tabela1" displayName="Tabela1" ref="B1:D30" totalsRowShown="0">
  <autoFilter ref="B1:D30" xr:uid="{497826DB-A9F5-4B30-90CD-94E13FCF7BAC}"/>
  <tableColumns count="3">
    <tableColumn id="1" xr3:uid="{6185FC54-599D-406C-9844-9EFC83438348}" name="UE - liczba km autostrad w krajach UE w 2017"/>
    <tableColumn id="2" xr3:uid="{0AD571BE-4337-4BFD-92E6-540CB15C5C25}" name="jednostka"/>
    <tableColumn id="13" xr3:uid="{0EDFFEBC-235D-4F78-A4BB-E8C9490BDB58}" name="wartość"/>
  </tableColumns>
  <tableStyleInfo name="TableStyleMedium2"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1A2D41FA-FF84-4007-BFB9-8F3C5EE2D6E8}" name="Tabela411" displayName="Tabela411" ref="F9:Q14" totalsRowShown="0" headerRowDxfId="228">
  <autoFilter ref="F9:Q14" xr:uid="{EDA8C7B7-F3FF-4A70-B753-B50623F391C4}"/>
  <tableColumns count="12">
    <tableColumn id="1" xr3:uid="{F331EB4D-00A9-442E-A696-C9D5AC7FCFDF}" name="PBDK - 2024-2030"/>
    <tableColumn id="4" xr3:uid="{57054060-00AE-429D-AB0E-7478B86FCE2A}" name="2014"/>
    <tableColumn id="5" xr3:uid="{DFAF87AE-B8E9-460A-9A25-5800F3B55FA7}" name="2015"/>
    <tableColumn id="6" xr3:uid="{38102C56-8C2D-4A93-A82E-F5826A372668}" name="2016"/>
    <tableColumn id="7" xr3:uid="{2F46F5B2-21BB-46BD-9757-14BA8B2A8780}" name="2017"/>
    <tableColumn id="8" xr3:uid="{1C1C4004-3160-41FF-BB2F-6C7B25F60434}" name="2018"/>
    <tableColumn id="9" xr3:uid="{DD502387-618B-4674-96EE-7E918FF68009}" name="2019"/>
    <tableColumn id="10" xr3:uid="{D364EC98-E8D4-457A-8A88-9156340B1DD6}" name="2020"/>
    <tableColumn id="11" xr3:uid="{129C2980-7A6B-4F4F-852F-EA55F43B1125}" name="2021"/>
    <tableColumn id="12" xr3:uid="{9C5C34D2-A84B-494D-AED4-7716E85A99BA}" name="2022"/>
    <tableColumn id="13" xr3:uid="{C8E19D9C-2433-448C-A8E2-17A01BFA8A1E}" name="2023"/>
    <tableColumn id="14" xr3:uid="{A5F327B2-F55E-44E1-B12B-A5D8CB8E9AD2}" name="razem" dataCellStyle="Dziesiętny">
      <calculatedColumnFormula>SUM(Tabela411[[#This Row],[2014]:[2023]])</calculatedColumnFormula>
    </tableColumn>
  </tableColumns>
  <tableStyleInfo name="TableStyleMedium2"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9B96A48F-D10D-4A84-A8CF-C70DFDD86DFC}" name="Tabela213" displayName="Tabela213" ref="B1:D30" totalsRowShown="0">
  <autoFilter ref="B1:D30" xr:uid="{4B0A410B-2A3D-4AEA-97D5-B7187144136D}"/>
  <tableColumns count="3">
    <tableColumn id="1" xr3:uid="{9C207937-C049-4C6F-8DD3-053679830111}" name="Liczba ludności UE w 2017"/>
    <tableColumn id="2" xr3:uid="{AF898F5A-FBD2-4739-940B-5314C1BAF153}" name="osoby"/>
    <tableColumn id="3" xr3:uid="{FF6D72F5-BA0D-4E3C-87B5-8A772149A75A}" name="wartość" dataDxfId="227" dataCellStyle="Dziesiętny"/>
  </tableColumns>
  <tableStyleInfo name="TableStyleMedium2"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F6743C70-B583-4CD2-9217-916472D6CF11}" name="Tabela314" displayName="Tabela314" ref="B32:D61" totalsRowShown="0">
  <autoFilter ref="B32:D61" xr:uid="{B76BEB21-0A1C-4495-AA62-2FECEF36D5BA}"/>
  <tableColumns count="3">
    <tableColumn id="1" xr3:uid="{F8CCD6DA-C36A-4AAE-B69A-3C46AF3CD82E}" name="UE - powierzchnia krajów w 2017"/>
    <tableColumn id="2" xr3:uid="{E7B043EA-7991-4E13-BF1C-B25B5862498F}" name="km2"/>
    <tableColumn id="3" xr3:uid="{162B0DA7-8EA7-49C6-AF23-1FE2589F8F56}" name="wartość " dataDxfId="226" dataCellStyle="Dziesiętny"/>
  </tableColumns>
  <tableStyleInfo name="TableStyleMedium2"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1C3F940C-1F97-438E-B8F8-A41813A33655}" name="Tabela31415" displayName="Tabela31415" ref="B63:D92" totalsRowShown="0">
  <autoFilter ref="B63:D92" xr:uid="{32CAAE7E-9E39-4841-9C95-64C8F3E630DF}"/>
  <tableColumns count="3">
    <tableColumn id="1" xr3:uid="{52B22860-F721-4CEB-A0F7-D14CE80DD4F2}" name="UE - długość dróg krajowych  w 2017"/>
    <tableColumn id="2" xr3:uid="{CECE6406-A4FB-4FFC-BB95-B7A625EC7D81}" name="km"/>
    <tableColumn id="3" xr3:uid="{A59F2FE0-5F82-434B-B1AB-C59411D6AD18}" name="wartość " dataDxfId="225" dataCellStyle="Dziesiętny"/>
  </tableColumns>
  <tableStyleInfo name="TableStyleMedium2"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D066AA73-200B-4471-AE87-51C91872C251}" name="Tabela416" displayName="Tabela416" ref="F1:Q7" totalsRowShown="0" headerRowDxfId="224">
  <autoFilter ref="F1:Q7" xr:uid="{29749E36-A262-4CB6-9E90-E5F1C9AE70FE}"/>
  <tableColumns count="12">
    <tableColumn id="1" xr3:uid="{402D380B-CE2B-4E42-80B4-5A277FBDDEFB}" name="PBDK - 09.2019"/>
    <tableColumn id="4" xr3:uid="{7B7ADDB9-5110-4D63-AFA1-D71C4F1EE6D2}" name="2014"/>
    <tableColumn id="5" xr3:uid="{CB2C5778-BBDA-443F-83A6-7AE78B2F4C0D}" name="2015"/>
    <tableColumn id="6" xr3:uid="{6E69922F-883D-4184-8E34-7190CE5A5529}" name="2016"/>
    <tableColumn id="7" xr3:uid="{C23D9DE1-8F2C-46AE-A0FB-1013C64D12B6}" name="2017"/>
    <tableColumn id="8" xr3:uid="{A5A1D210-60F8-45B3-BB35-75D56B5FF1F1}" name="2018"/>
    <tableColumn id="9" xr3:uid="{EE9FD109-8F68-4923-896A-60AC31C7C0F0}" name="2019"/>
    <tableColumn id="10" xr3:uid="{7E3CE7A4-3679-47C5-ACB1-3358434BD177}" name="2020"/>
    <tableColumn id="11" xr3:uid="{760EB070-6ADE-45D8-8A3F-5038548B8E67}" name="2021"/>
    <tableColumn id="12" xr3:uid="{0AE8660A-32D1-4620-A9C6-C53C8B425ADC}" name="2022"/>
    <tableColumn id="13" xr3:uid="{0419B341-3F04-42F0-B1EA-40A1573CA1D6}" name="2023"/>
    <tableColumn id="14" xr3:uid="{A9FD6E08-F985-4DBA-9040-C67CABB3D928}" name="razem" dataDxfId="223">
      <calculatedColumnFormula>SUM(Tabela416[[#This Row],[2014]:[2023]])</calculatedColumnFormula>
    </tableColumn>
  </tableColumns>
  <tableStyleInfo name="TableStyleMedium2"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42EE3460-154A-4B49-9F24-1954BF7D45B3}" name="Tabela41117" displayName="Tabela41117" ref="F9:Q14" totalsRowShown="0" headerRowDxfId="222">
  <autoFilter ref="F9:Q14" xr:uid="{A02AFF6A-66D7-4C6F-866E-89C6A1CB69A2}"/>
  <tableColumns count="12">
    <tableColumn id="1" xr3:uid="{DAA8F079-4F65-4A7E-B37D-37ED344A037F}" name="PBDK - 2024-2030" dataDxfId="221"/>
    <tableColumn id="4" xr3:uid="{E6A63013-3AEA-45B6-9192-89FC927C4C84}" name="2014"/>
    <tableColumn id="5" xr3:uid="{99ABA3B9-D751-4A51-9EB4-F4839A970143}" name="2015"/>
    <tableColumn id="6" xr3:uid="{D415C6AD-347B-40F8-ABDC-289F752EF48E}" name="2016"/>
    <tableColumn id="7" xr3:uid="{E4796C87-8DDF-439F-83FE-00578F6971EA}" name="2017"/>
    <tableColumn id="8" xr3:uid="{1B179D8C-FDEF-4E4D-866D-D6F36B7ACF7B}" name="2018"/>
    <tableColumn id="9" xr3:uid="{4142A837-C1B0-44D2-B087-28B45CA72347}" name="2019"/>
    <tableColumn id="10" xr3:uid="{0A71F796-8321-4B13-9A91-410C4EF5C62E}" name="2020"/>
    <tableColumn id="11" xr3:uid="{06DD9D32-48D0-4763-9436-5CBA0A19015E}" name="2021"/>
    <tableColumn id="12" xr3:uid="{6316A52B-5EAB-4EF2-9B22-3BF25390F936}" name="2022"/>
    <tableColumn id="13" xr3:uid="{E787E6A4-2567-4693-9141-7989E49076A7}" name="2023"/>
    <tableColumn id="14" xr3:uid="{DBEE1B58-8D0F-461F-8AEF-AB6E65C65D82}" name="razem" dataCellStyle="Dziesiętny">
      <calculatedColumnFormula>SUM(Tabela41117[[#This Row],[2014]:[2023]])</calculatedColumnFormula>
    </tableColumn>
  </tableColumns>
  <tableStyleInfo name="TableStyleMedium2"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3D36D8F9-3584-456E-B5C1-7419066B739C}" name="Tabela17" displayName="Tabela17" ref="B128:D129" totalsRowShown="0">
  <autoFilter ref="B128:D129" xr:uid="{876D7A80-3EF6-426C-99B2-C6A4278C79E8}"/>
  <tableColumns count="3">
    <tableColumn id="1" xr3:uid="{689F2712-5F4F-4AEC-9CD9-E5D529549714}" name="Wskaźnik" dataDxfId="220"/>
    <tableColumn id="2" xr3:uid="{01E84F24-BFA8-4346-BC31-03400BE61EBF}" name="jednostka"/>
    <tableColumn id="3" xr3:uid="{321B5967-07FB-4986-8113-91CABD1E9518}" name="wartość">
      <calculatedColumnFormula>D126</calculatedColumnFormula>
    </tableColumn>
  </tableColumns>
  <tableStyleInfo name="TableStyleMedium2"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84570D6C-A7EC-4F1D-BC89-CB325F221171}" name="Tabela3141519" displayName="Tabela3141519" ref="B97:D126" totalsRowShown="0">
  <autoFilter ref="B97:D126" xr:uid="{DB4F6399-8B5D-4096-91E7-3981D0913E68}"/>
  <tableColumns count="3">
    <tableColumn id="1" xr3:uid="{50C00DF3-8C28-411F-BA03-BFD5D9148257}" name="UE - stosunek ilości dróg krajowych do powierzchni"/>
    <tableColumn id="2" xr3:uid="{E26DB465-5D8F-491D-9A6A-E8F0510D0FAF}" name="km/1000 km2"/>
    <tableColumn id="3" xr3:uid="{4A0FB25A-61A7-4EB2-B6C0-7633010F6634}" name="wartość " dataDxfId="219" dataCellStyle="Dziesiętny"/>
  </tableColumns>
  <tableStyleInfo name="TableStyleMedium2"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9F3FF79B-BBC5-4A67-A347-26916600508B}" name="Tabela19" displayName="Tabela19" ref="B131:N138" insertRowShift="1" totalsRowShown="0">
  <autoFilter ref="B131:N138" xr:uid="{8EF2AD60-1F09-46BD-88D3-9A684E1F201D}"/>
  <tableColumns count="13">
    <tableColumn id="1" xr3:uid="{447F9EA0-B302-416F-B2AC-423C814FD779}" name="rodzaj prac"/>
    <tableColumn id="2" xr3:uid="{5070AB8E-0833-4B36-9778-E57A34CD826E}" name="jednostka"/>
    <tableColumn id="3" xr3:uid="{784A011C-C3EB-49DA-9950-090A11ABA138}" name="Razem" dataDxfId="218">
      <calculatedColumnFormula>SUM(Tabela19[[#This Row],[2014]:[2023]])</calculatedColumnFormula>
    </tableColumn>
    <tableColumn id="4" xr3:uid="{88DF7D44-88ED-40B3-9109-05A7269BF5B7}" name="2014"/>
    <tableColumn id="5" xr3:uid="{ED3D7C5B-3BAF-493D-ACFE-C06169F517F5}" name="2015"/>
    <tableColumn id="6" xr3:uid="{75DEF65E-0C85-4A0B-AA5A-383706C41645}" name="2016"/>
    <tableColumn id="7" xr3:uid="{C30C0477-8B8B-4D2D-A85B-6F4CEBEA2B61}" name="2017"/>
    <tableColumn id="8" xr3:uid="{8EACB63C-9395-4D90-BB42-A21DB697D651}" name="2018"/>
    <tableColumn id="9" xr3:uid="{1618A85C-C6C7-4A59-9413-0D5C31E29313}" name="2019" dataDxfId="217">
      <calculatedColumnFormula>AVERAGE(Tabela19[[#This Row],[2014]:[2018]])</calculatedColumnFormula>
    </tableColumn>
    <tableColumn id="10" xr3:uid="{0E87A07D-57CE-420A-9A6D-651386D489C6}" name="2020"/>
    <tableColumn id="11" xr3:uid="{F6908B56-C084-46E1-A683-BD29C3DD18B9}" name="2021"/>
    <tableColumn id="12" xr3:uid="{220BBAAA-789A-45AB-AEDC-48B780752F96}" name="2022"/>
    <tableColumn id="13" xr3:uid="{57F5F5FB-04F7-4A52-89FA-9B1875915B77}" name="2023"/>
  </tableColumns>
  <tableStyleInfo name="TableStyleMedium2"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1DD84E0D-CA25-4235-9999-1E99DE9B3D4D}" name="Tabela20" displayName="Tabela20" ref="B140:J143" totalsRowShown="0" headerRowDxfId="216">
  <autoFilter ref="B140:J143" xr:uid="{FD758267-27E2-4E2A-A051-0202437CB803}"/>
  <tableColumns count="9">
    <tableColumn id="1" xr3:uid="{D82047F0-B285-4C3D-A647-DA17FD63DC5F}" name="Kolumna1"/>
    <tableColumn id="2" xr3:uid="{B471FD87-D252-494E-9480-4A4F859BFC3A}" name="JEDNOSTKA"/>
    <tableColumn id="3" xr3:uid="{C3C67FB4-E6E9-467B-B380-E924CEC4C7D8}" name="Kolumna2"/>
    <tableColumn id="4" xr3:uid="{79F2DAE0-61AA-41F9-B7C0-D5F896524A36}" name="Kolumna3"/>
    <tableColumn id="5" xr3:uid="{5A056705-8BDF-4090-9E27-4E5EBB3200A5}" name="2015"/>
    <tableColumn id="6" xr3:uid="{5741598A-3D30-4095-95A2-AD1B54CF8A8E}" name="2016"/>
    <tableColumn id="7" xr3:uid="{9D9AAD52-5A72-41FE-8360-EFE2E8719DF9}" name="2017"/>
    <tableColumn id="8" xr3:uid="{43ADA577-3509-4165-B26A-DF90759DC336}" name="2018"/>
    <tableColumn id="9" xr3:uid="{3BC42006-503D-4D3B-B669-E1C0FD2D3037}" name="2019"/>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C14690CA-3583-4A6E-BAFF-38A6C20F9104}" name="Tabela2" displayName="Tabela2" ref="B32:D61" totalsRowShown="0">
  <autoFilter ref="B32:D61" xr:uid="{86832AC2-5B70-4B17-8893-E8CA9B7B64B1}"/>
  <tableColumns count="3">
    <tableColumn id="1" xr3:uid="{639EF513-FC78-4EF0-A165-F67E0D436F4A}" name="Liczba ludności UE w 2017"/>
    <tableColumn id="2" xr3:uid="{2FC9C14C-931A-4EDA-9010-A71BED757679}" name="osoby"/>
    <tableColumn id="3" xr3:uid="{46305A81-04B3-4DB8-BBA5-64771ED62BF2}" name="wartość" dataDxfId="238" dataCellStyle="Dziesiętny"/>
  </tableColumns>
  <tableStyleInfo name="TableStyleMedium2"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4C287402-8E86-4565-8B63-105AAD0DC93C}" name="Tabela21" displayName="Tabela21" ref="B145:D149" totalsRowShown="0">
  <autoFilter ref="B145:D149" xr:uid="{ECC84A23-3C56-4A7E-9243-755EB37F2483}"/>
  <tableColumns count="3">
    <tableColumn id="1" xr3:uid="{06A26351-CEAF-405B-BB44-248DE3227AC8}" name="Potrzeby inwestycyjne" dataDxfId="215"/>
    <tableColumn id="2" xr3:uid="{41C1FAA3-B8CF-4D05-AF71-2A518495F539}" name="jednostka"/>
    <tableColumn id="3" xr3:uid="{2BD2028B-1509-484B-810A-C7589014B2A3}" name="wartość" dataDxfId="214" dataCellStyle="Dziesiętny"/>
  </tableColumns>
  <tableStyleInfo name="TableStyleMedium2"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1509C41D-5A56-49EC-A59D-C23D046C32A1}" name="Tabela2123" displayName="Tabela2123" ref="B151:D154" totalsRowShown="0">
  <autoFilter ref="B151:D154" xr:uid="{36BE7A00-5066-4A17-8B70-09408EA1337D}"/>
  <tableColumns count="3">
    <tableColumn id="1" xr3:uid="{291E83C7-03A2-4E07-B787-C2C20C086E9C}" name="Potrzeby inwestycyjne" dataDxfId="213"/>
    <tableColumn id="2" xr3:uid="{F7E4CB3A-4271-4055-8612-3F3B36C5A3B5}" name="jednostka"/>
    <tableColumn id="3" xr3:uid="{4201F2DD-4C82-4D5F-A05B-429F3C775887}" name="wartość" dataDxfId="212" dataCellStyle="Dziesiętny">
      <calculatedColumnFormula>Q14</calculatedColumnFormula>
    </tableColumn>
  </tableColumns>
  <tableStyleInfo name="TableStyleMedium2"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EA8E929A-0542-4ADD-932C-C456C769997F}" name="Tabela23" displayName="Tabela23" ref="B157:H174" totalsRowShown="0" headerRowDxfId="211">
  <autoFilter ref="B157:H174" xr:uid="{81FE7170-EEFC-4771-899E-7480A942D98D}"/>
  <tableColumns count="7">
    <tableColumn id="1" xr3:uid="{CB398FB0-CF11-452A-AB36-78B32806C6D8}" name="Kolumna1" dataDxfId="210"/>
    <tableColumn id="2" xr3:uid="{EB969FCB-0250-45DD-84F6-D73F60A521B7}" name="drogi krajowe ogółem  [km]" dataDxfId="209"/>
    <tableColumn id="3" xr3:uid="{2DAC38C2-B92C-4B72-9C80-594414A725A2}" name="udział % dróg o statusie złym" dataDxfId="208" dataCellStyle="Procentowy"/>
    <tableColumn id="4" xr3:uid="{14AE1445-EBB5-405F-A741-83DFB570E0B1}" name="km dróg o statusie złym"/>
    <tableColumn id="5" xr3:uid="{EFAB4E7C-71B3-4754-B0EF-FF8EA790AA8E}" name="wzmocnienia [mln zł]"/>
    <tableColumn id="6" xr3:uid="{BD8F06C0-C26D-4CB1-9EAC-58A1B23A06F7}" name="obwodnice [mln zł]"/>
    <tableColumn id="7" xr3:uid="{BAAEEB51-DFFF-41B2-9121-638C74D141A6}" name="remonty [mln zł]"/>
  </tableColumns>
  <tableStyleInfo name="TableStyleMedium2"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3834CA03-74BE-4A93-9AB5-7A5074C2F6AB}" name="Tabela24" displayName="Tabela24" ref="B2:F19" totalsRowShown="0">
  <autoFilter ref="B2:F19" xr:uid="{045696E9-6D40-45CF-9F30-0A93007ED198}"/>
  <tableColumns count="5">
    <tableColumn id="1" xr3:uid="{765C3FB3-4B52-4BDF-9A2D-6CE5ED51E818}" name="Drogi wojewódzkie w 2018"/>
    <tableColumn id="3" xr3:uid="{DA2D333A-768E-418F-9B8A-DFF27EDF2DAD}" name="jednostka"/>
    <tableColumn id="2" xr3:uid="{1E79AB3E-CF88-41C3-A3BE-5302716FED7F}" name="wartość" dataDxfId="207"/>
    <tableColumn id="4" xr3:uid="{414042E3-37DE-4A41-9DAF-1417A8773C2F}" name="19% sieci ze stanem złym"/>
    <tableColumn id="5" xr3:uid="{760C42C6-6A5D-4DB7-B4BB-7C2668C86E47}" name="potrzeby finansowe "/>
  </tableColumns>
  <tableStyleInfo name="TableStyleMedium2"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C7AEA899-D431-482C-9848-3F95BBE7F521}" name="Tabela25" displayName="Tabela25" ref="B21:F32" totalsRowShown="0">
  <autoFilter ref="B21:F32" xr:uid="{C2DC3228-5215-4B5E-AF43-EB2018A69C49}"/>
  <tableColumns count="5">
    <tableColumn id="1" xr3:uid="{4A0A3D48-69DF-4F78-8669-60BAB724A1CA}" name="Stan nawierzchni" dataDxfId="206"/>
    <tableColumn id="2" xr3:uid="{C8669DAF-0866-4426-872D-A73B1FE36EF5}" name="jendostka" dataDxfId="205"/>
    <tableColumn id="3" xr3:uid="{27AC33DD-1949-4B5B-A497-4CE72D931588}" name="2014" dataCellStyle="Procentowy"/>
    <tableColumn id="4" xr3:uid="{3FC42468-2110-45F4-A1F9-65A300F0A80D}" name="2015" dataCellStyle="Procentowy"/>
    <tableColumn id="5" xr3:uid="{D6C20D7D-4092-41DF-A01C-672935212476}" name="2016" dataCellStyle="Procentowy"/>
  </tableColumns>
  <tableStyleInfo name="TableStyleMedium2"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7A4E9E8B-8010-487B-84FC-D84EC1C86B1B}" name="Tabela26" displayName="Tabela26" ref="B35:F36" totalsRowShown="0" headerRowDxfId="204">
  <autoFilter ref="B35:F36" xr:uid="{3444B8DE-7C73-4F56-B28A-FF85067380B0}"/>
  <tableColumns count="5">
    <tableColumn id="1" xr3:uid="{4CF5FA53-16CB-493F-8A18-35F1A68D21B0}" name="Wskaźnik SL2014"/>
    <tableColumn id="2" xr3:uid="{1EBDF7E8-C6D8-4EE4-AE24-96360FEF92F9}" name="Skumulowana wartość projektów w zł" dataDxfId="203" dataCellStyle="Dziesiętny"/>
    <tableColumn id="3" xr3:uid="{A61FA92D-FBFF-44A5-A30E-A49833E48AD1}" name="ilość projektów" dataDxfId="202" dataCellStyle="Dziesiętny"/>
    <tableColumn id="4" xr3:uid="{1D592E4D-4074-4686-B432-1615F2E20DA5}" name="Skumulowana wartość wskaźnika " dataDxfId="201" dataCellStyle="Dziesiętny"/>
    <tableColumn id="5" xr3:uid="{CEF6BD4A-BE97-4649-AC9B-E0FCEC61613E}" name="wskaźnik kosztu na 1 km drogi wojewódzkiej" dataDxfId="200" dataCellStyle="Dziesiętny"/>
  </tableColumns>
  <tableStyleInfo name="TableStyleMedium2" showFirstColumn="0" showLastColumn="0" showRowStripes="1" showColumnStripes="0"/>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5BB246D2-8F87-4C35-A456-9FA49AD80597}" name="Tabela27" displayName="Tabela27" ref="B38:D39" totalsRowShown="0">
  <autoFilter ref="B38:D39" xr:uid="{7852EDAC-D98B-4DA8-874C-381A6372FCA6}"/>
  <tableColumns count="3">
    <tableColumn id="1" xr3:uid="{C4ED0A66-2769-4F96-8DC0-C9F9AE27BDB0}" name="Kolumna1"/>
    <tableColumn id="2" xr3:uid="{6E716813-A0DB-4EDA-ACC2-15383AAA829F}" name="jednostka"/>
    <tableColumn id="3" xr3:uid="{E55C343A-543A-4890-9C43-E3202131408D}" name="wartość" dataDxfId="199">
      <calculatedColumnFormula>Tabela26[wskaźnik kosztu na 1 km drogi wojewódzkiej]*E3</calculatedColumnFormula>
    </tableColumn>
  </tableColumns>
  <tableStyleInfo name="TableStyleMedium2" showFirstColumn="0" showLastColumn="0" showRowStripes="1" showColumnStripes="0"/>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56DBB05D-739F-41B7-BA35-A2276F3F9335}" name="Tabela28" displayName="Tabela28" ref="B42:D58" totalsRowShown="0" tableBorderDxfId="198">
  <autoFilter ref="B42:D58" xr:uid="{30886AC1-5A14-4F03-BA0E-3F06EC5D34F1}"/>
  <tableColumns count="3">
    <tableColumn id="1" xr3:uid="{EFFA5B99-FBE1-426C-A6B4-D81BEABB7900}" name="Wielkośc wydatków na utrzymanie dróg wg OECD" dataDxfId="197"/>
    <tableColumn id="2" xr3:uid="{23AE5FA3-E150-4F95-9EA4-481E44DB635A}" name="2017" dataDxfId="196"/>
    <tableColumn id="3" xr3:uid="{218591D4-F0A5-4731-88D9-256B36B809BD}" name="2016"/>
  </tableColumns>
  <tableStyleInfo name="TableStyleMedium2" showFirstColumn="0" showLastColumn="0" showRowStripes="1" showColumnStripes="0"/>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 xr:uid="{D72DD138-3FD7-421C-80FA-2D0980F9D803}" name="Tabela30" displayName="Tabela30" ref="B60:G77" totalsRowShown="0">
  <autoFilter ref="B60:G77" xr:uid="{80D9A0D0-6FE2-4B28-893B-45A4D1F4E495}"/>
  <tableColumns count="6">
    <tableColumn id="1" xr3:uid="{E7395A5F-4EAD-4949-852F-17C6AFAF0678}" name="Kolumna1" dataDxfId="195"/>
    <tableColumn id="2" xr3:uid="{FB78A2BF-DF37-454E-BE93-C509701B7276}" name="Łączne wydatki na drogi wojewódzkie w zł w 2018" dataDxfId="194" dataCellStyle="Dziesiętny"/>
    <tableColumn id="3" xr3:uid="{80DA2057-1E36-4B47-8601-E3ECF1041678}" name="wydatki na utrzymanie wg OECD - 13,9% w 2017">
      <calculatedColumnFormula>Tabela30[[#This Row],[Łączne wydatki na drogi wojewódzkie w zł w 2018]]*13.9%</calculatedColumnFormula>
    </tableColumn>
    <tableColumn id="4" xr3:uid="{693A48FE-274D-4090-BBA6-EE23C8409487}" name="wydatki na utrzymanie wg średniej OECD 2016/2017 - 32%">
      <calculatedColumnFormula>Tabela30[[#This Row],[Łączne wydatki na drogi wojewódzkie w zł w 2018]]*32%</calculatedColumnFormula>
    </tableColumn>
    <tableColumn id="5" xr3:uid="{34F3BEEE-63EF-4CAF-9019-3B43D9FB5389}" name="niezabezpieczone wydatki na utrzymanie">
      <calculatedColumnFormula>Tabela30[[#This Row],[wydatki na utrzymanie wg średniej OECD 2016/2017 - 32%]]-Tabela30[[#This Row],[wydatki na utrzymanie wg OECD - 13,9% w 2017]]</calculatedColumnFormula>
    </tableColumn>
    <tableColumn id="6" xr3:uid="{6D56C113-CFD9-4A83-9045-39F66143EDEF}" name="Budżet na inwestycje uwzględniający środki na utrzymanie na poziomie 32%">
      <calculatedColumnFormula>Tabela30[[#This Row],[Łączne wydatki na drogi wojewódzkie w zł w 2018]]-Tabela30[[#This Row],[wydatki na utrzymanie wg średniej OECD 2016/2017 - 32%]]</calculatedColumnFormula>
    </tableColumn>
  </tableColumns>
  <tableStyleInfo name="TableStyleMedium2" showFirstColumn="0" showLastColumn="0" showRowStripes="1" showColumnStripes="0"/>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 xr:uid="{7879C5D1-5080-453A-9267-48274D384DE2}" name="Tabela32" displayName="Tabela32" ref="B2:F20" totalsRowShown="0" headerRowDxfId="193" headerRowBorderDxfId="192" tableBorderDxfId="191" headerRowCellStyle="Kolumna" dataCellStyle="Normalny 5">
  <autoFilter ref="B2:F20" xr:uid="{93802D0C-1768-42EE-87E2-7A32FCC1DA2A}"/>
  <tableColumns count="5">
    <tableColumn id="1" xr3:uid="{B26C964B-9BFD-495F-AA89-00E22FF8786C}" name="Drogi ogółem w kraju" dataCellStyle="Normalny 5"/>
    <tableColumn id="2" xr3:uid="{6E5ED53B-DA43-466F-B9B2-41F603C98C0F}" name="2018" dataDxfId="190" dataCellStyle="Normalny 5"/>
    <tableColumn id="3" xr3:uid="{18684615-1309-4D0E-88CC-A0D4E102B25C}" name="2017" dataDxfId="189" dataCellStyle="Normalny 5"/>
    <tableColumn id="4" xr3:uid="{E63CAEEF-53BF-4352-B02B-88A3C7292C55}" name="2016" dataDxfId="188" dataCellStyle="Normalny 5"/>
    <tableColumn id="5" xr3:uid="{F870F4B5-3540-4008-A8A5-EF5E1D7F3047}" name="2015" dataDxfId="187" dataCellStyle="Normalny 5"/>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9C45E863-47F0-4882-96A0-DC31F8F8FFB4}" name="Tabela3" displayName="Tabela3" ref="B63:D92" totalsRowShown="0">
  <autoFilter ref="B63:D92" xr:uid="{BA864A6E-E77A-4101-A27A-2D5F2A05560D}"/>
  <tableColumns count="3">
    <tableColumn id="1" xr3:uid="{6D3843C8-029F-4B9D-B60B-3821D2E14C32}" name="UE - powierzchnia krajów w 2017"/>
    <tableColumn id="2" xr3:uid="{5B00241D-7380-4C11-871A-2A6C4D92022C}" name="km2"/>
    <tableColumn id="3" xr3:uid="{8C97478F-9D16-42AE-9253-C4C6CB2021B7}" name="wartość " dataDxfId="237" dataCellStyle="Dziesiętny"/>
  </tableColumns>
  <tableStyleInfo name="TableStyleMedium2" showFirstColumn="0" showLastColumn="0" showRowStripes="1" showColumnStripes="0"/>
</table>
</file>

<file path=xl/tables/table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 xr:uid="{2798E612-DF12-4100-A91F-B918C219915D}" name="Tabela33" displayName="Tabela33" ref="B22:L41" totalsRowShown="0">
  <autoFilter ref="B22:L41" xr:uid="{EABF4139-5437-4BF3-A11D-D8759E21D9D5}"/>
  <tableColumns count="11">
    <tableColumn id="1" xr3:uid="{7C0B23BE-C4B5-4260-8E84-64535D955091}" name="Nazwa"/>
    <tableColumn id="2" xr3:uid="{11FAFE66-CAE0-41E0-A256-B91B9C3C3B33}" name="drogi gminne i powiatowe gruntowe"/>
    <tableColumn id="3" xr3:uid="{D40CBCAD-0EB0-4349-A6CB-C6923BF88A34}" name="drogi gminne i powiatowe gruntowe2"/>
    <tableColumn id="4" xr3:uid="{618BB256-28DD-46F9-B7EC-38B539BEB2F4}" name="drogi gminne i powiatowe gruntowe3"/>
    <tableColumn id="5" xr3:uid="{9BD7F2E5-6F71-47DF-BC20-EBF13367F6BF}" name="drogi gminne i powiatowe gruntowe4"/>
    <tableColumn id="6" xr3:uid="{4465FA17-D810-4D50-9AB3-DEEE4A939C78}" name="Kolumna5"/>
    <tableColumn id="7" xr3:uid="{1B4848E8-9E49-48FC-A5F5-8D555B7E55F0}" name="Nazwa6"/>
    <tableColumn id="8" xr3:uid="{499ECF81-D013-4B12-8BFD-2F5A1CF99A5E}" name="drogi gminne i powiatowe twarde"/>
    <tableColumn id="9" xr3:uid="{9F9EE014-500A-46FA-B042-1C64415E57E0}" name="drogi gminne i powiatowe twarde7"/>
    <tableColumn id="10" xr3:uid="{858587F6-AED5-490C-AD7F-77B3C9430F02}" name="drogi gminne i powiatowe twarde8"/>
    <tableColumn id="11" xr3:uid="{4AF25700-A844-4FD3-918F-3B13872F56B1}" name="drogi gminne i powiatowe twarde9"/>
  </tableColumns>
  <tableStyleInfo name="TableStyleMedium2" showFirstColumn="0" showLastColumn="0" showRowStripes="1" showColumnStripes="0"/>
</table>
</file>

<file path=xl/tables/table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21D2FAB6-B73F-4C95-B00D-A0BCE7FA02B7}" name="Tabela34" displayName="Tabela34" ref="B43:D62" totalsRowShown="0">
  <autoFilter ref="B43:D62" xr:uid="{5B311C89-9AC0-444C-9CB3-A6CB82645B9D}"/>
  <tableColumns count="3">
    <tableColumn id="1" xr3:uid="{28E1F52F-097E-4CBB-A053-3B51C41FAD7A}" name="Nazwa"/>
    <tableColumn id="2" xr3:uid="{0F156766-831D-4E43-98FE-DCCC0597DBDB}" name="Drogi gminne"/>
    <tableColumn id="3" xr3:uid="{6CABCB5A-E7A4-4BEA-A798-81372F339CFA}" name="Drogi powiatowe"/>
  </tableColumns>
  <tableStyleInfo name="TableStyleMedium2" showFirstColumn="0" showLastColumn="0" showRowStripes="1" showColumnStripes="0"/>
</table>
</file>

<file path=xl/tables/table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5" xr:uid="{52A133EB-B18B-4724-B3EE-4805F5210126}" name="Tabela35" displayName="Tabela35" ref="B64:D67" totalsRowShown="0">
  <autoFilter ref="B64:D67" xr:uid="{C10209E2-BD29-4257-90F3-9ABDF120C2A1}"/>
  <tableColumns count="3">
    <tableColumn id="1" xr3:uid="{FE0A87CB-D912-4E5A-90FA-8D987AAA9FC2}" name="jakośc drogi" dataDxfId="186" dataCellStyle="Normalny 5"/>
    <tableColumn id="2" xr3:uid="{90F65A85-67C9-4D27-A292-B5D80597AA68}" name="stan dróg gminnych">
      <calculatedColumnFormula>1-C64</calculatedColumnFormula>
    </tableColumn>
    <tableColumn id="3" xr3:uid="{CB6D1CAD-A555-43F4-91E8-C9DB9C1AFCAF}" name="stan dróg powiatowych">
      <calculatedColumnFormula>1-D64</calculatedColumnFormula>
    </tableColumn>
  </tableColumns>
  <tableStyleInfo name="TableStyleMedium2" showFirstColumn="0" showLastColumn="0" showRowStripes="1" showColumnStripes="0"/>
</table>
</file>

<file path=xl/tables/table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6" xr:uid="{B1402212-9B64-4C48-8751-AE9D8C0F53B5}" name="Tabela3537" displayName="Tabela3537" ref="B69:D72" totalsRowShown="0">
  <autoFilter ref="B69:D72" xr:uid="{21CB5F74-D2DA-40CD-97AB-26828B9487B0}"/>
  <tableColumns count="3">
    <tableColumn id="1" xr3:uid="{12366141-3553-4F9F-9282-BEF5729E14BF}" name="jakośc drogi" dataDxfId="185" dataCellStyle="Normalny 5"/>
    <tableColumn id="2" xr3:uid="{F0CEEEE8-E6A8-4C96-BDBE-B11337FF1B36}" name="stan dróg gminnych" dataCellStyle="Dziesiętny">
      <calculatedColumnFormula>1-C69</calculatedColumnFormula>
    </tableColumn>
    <tableColumn id="3" xr3:uid="{6E32BBA8-67B7-44A0-8FB5-E684CA6EF94E}" name="stan dróg powiatowych" dataCellStyle="Dziesiętny">
      <calculatedColumnFormula>1-D69</calculatedColumnFormula>
    </tableColumn>
  </tableColumns>
  <tableStyleInfo name="TableStyleMedium2" showFirstColumn="0" showLastColumn="0" showRowStripes="1" showColumnStripes="0"/>
</table>
</file>

<file path=xl/tables/table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7" xr:uid="{E4535B6D-0F52-4A6B-9DC7-E954CA2993DE}" name="Tabela353738" displayName="Tabela353738" ref="B74:E76" totalsRowShown="0">
  <autoFilter ref="B74:E76" xr:uid="{B4B9126F-4CE3-4DC7-9585-5C212AEE7AE2}"/>
  <tableColumns count="4">
    <tableColumn id="1" xr3:uid="{7F503FCC-8978-4A1E-9A2E-1E7E43A067C5}" name="jakośc drogi" dataDxfId="184" dataCellStyle="Normalny 5"/>
    <tableColumn id="2" xr3:uid="{0AD99798-A019-42B9-A337-209BC28FC5EB}" name="stan dróg gminnych" dataCellStyle="Dziesiętny">
      <calculatedColumnFormula>1-C74</calculatedColumnFormula>
    </tableColumn>
    <tableColumn id="3" xr3:uid="{DDCB77A5-5EBA-4641-B356-51B72525686B}" name="stan dróg powiatowych" dataCellStyle="Dziesiętny">
      <calculatedColumnFormula>1-D74</calculatedColumnFormula>
    </tableColumn>
    <tableColumn id="4" xr3:uid="{42B42A35-5D7E-4D4C-9D10-8CA938DA486E}" name="razem"/>
  </tableColumns>
  <tableStyleInfo name="TableStyleMedium2" showFirstColumn="0" showLastColumn="0" showRowStripes="1" showColumnStripes="0"/>
</table>
</file>

<file path=xl/tables/table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8" xr:uid="{6C56D12F-83A9-41C1-A088-415CF81E5436}" name="Tabela38" displayName="Tabela38" ref="B94:D96" totalsRowShown="0">
  <autoFilter ref="B94:D96" xr:uid="{025966CD-A053-4508-A884-3EAE3D4D9732}"/>
  <tableColumns count="3">
    <tableColumn id="1" xr3:uid="{2D6E7628-4EE5-4476-8712-CF5EAFDEBB7C}" name="drogi poprawione i realizowane"/>
    <tableColumn id="2" xr3:uid="{5967D101-283D-4521-BAD7-4274DA60A5BB}" name="jednostka"/>
    <tableColumn id="3" xr3:uid="{03538571-6276-42A8-9C21-BEFC184B1AE5}" name="wartość"/>
  </tableColumns>
  <tableStyleInfo name="TableStyleMedium2" showFirstColumn="0" showLastColumn="0" showRowStripes="1" showColumnStripes="0"/>
</table>
</file>

<file path=xl/tables/table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9" xr:uid="{1A0B0ED9-8A1F-441B-BC5E-8D5038D7F7EE}" name="Tabela39" displayName="Tabela39" ref="B79:F84" totalsRowShown="0" dataDxfId="183" dataCellStyle="Dziesiętny">
  <autoFilter ref="B79:F84" xr:uid="{9B9E25CD-FBBD-4342-ADF9-BFA946862F23}"/>
  <tableColumns count="5">
    <tableColumn id="1" xr3:uid="{3B895960-B35F-4B59-90D3-3DCF7E887F9F}" name="Drogi lokalne w SL2014" dataDxfId="182" dataCellStyle="Normalny 5"/>
    <tableColumn id="2" xr3:uid="{EDEE5419-47A8-4C2E-9703-92DE6D900631}" name="ilośc projektów" dataDxfId="181" dataCellStyle="Normalny 5"/>
    <tableColumn id="3" xr3:uid="{CA038C64-A6E7-4992-8B81-ADCD6BEEAE8A}" name="wartość projektów" dataDxfId="180" dataCellStyle="Dziesiętny"/>
    <tableColumn id="4" xr3:uid="{F43F8296-9617-4D71-AD92-15180B2B300A}" name="wartość wskaźnika [km]" dataDxfId="179" dataCellStyle="Dziesiętny"/>
    <tableColumn id="5" xr3:uid="{B5E7EDBC-F8EB-4407-916F-C426609E2D19}" name="średnia kosztu za 1 km drogi" dataDxfId="178" dataCellStyle="Dziesiętny">
      <calculatedColumnFormula>D80/E80</calculatedColumnFormula>
    </tableColumn>
  </tableColumns>
  <tableStyleInfo name="TableStyleMedium2" showFirstColumn="0" showLastColumn="0" showRowStripes="1" showColumnStripes="0"/>
</table>
</file>

<file path=xl/tables/table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0" xr:uid="{8AC49253-A7F1-4AFA-87E4-09D2FF150BD1}" name="Tabela40" displayName="Tabela40" ref="B87:D92" totalsRowShown="0">
  <autoFilter ref="B87:D92" xr:uid="{DBCD6557-CA61-4903-9D58-F66ACA6F783D}"/>
  <tableColumns count="3">
    <tableColumn id="1" xr3:uid="{FACAE829-64BC-4FB7-A502-DAE900CC3BC1}" name="programy wsparcia"/>
    <tableColumn id="2" xr3:uid="{68F93A27-A260-4D8C-8124-BE20A0EA38FE}" name="wydano (mln PLN)" dataCellStyle="Normalny 5"/>
    <tableColumn id="3" xr3:uid="{8E54CAEF-18CB-4694-8AC4-20585A32A2B5}" name="wykonano km" dataCellStyle="Normalny 5"/>
  </tableColumns>
  <tableStyleInfo name="TableStyleMedium2" showFirstColumn="0" showLastColumn="0" showRowStripes="1" showColumnStripes="0"/>
</table>
</file>

<file path=xl/tables/table3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1" xr:uid="{E475147A-ECB1-4536-BEEB-E9907478A8BF}" name="Tabela41" displayName="Tabela41" ref="B99:D100" totalsRowShown="0">
  <autoFilter ref="B99:D100" xr:uid="{B404FE56-33E4-4A4C-B755-02524487421B}"/>
  <tableColumns count="3">
    <tableColumn id="1" xr3:uid="{95B6C5E3-F08E-4105-8C64-D1B8A2151D3A}" name="Budżet FDS"/>
    <tableColumn id="2" xr3:uid="{7589EA0E-3F7A-42DB-9B8E-AB47950D0CFC}" name="zł/1 km" dataDxfId="177"/>
    <tableColumn id="3" xr3:uid="{4EAD1480-5578-4EA0-8DAA-2DA08B11A47C}" name="km"/>
  </tableColumns>
  <tableStyleInfo name="TableStyleMedium2" showFirstColumn="0" showLastColumn="0" showRowStripes="1" showColumnStripes="0"/>
</table>
</file>

<file path=xl/tables/table3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2" xr:uid="{EE0A727B-73A0-4B5F-A089-ECE54B314961}" name="Tabela42" displayName="Tabela42" ref="B104:D108" totalsRowShown="0">
  <autoFilter ref="B104:D108" xr:uid="{DC259552-3A44-4AFD-B78F-9ADF2BD2902E}"/>
  <tableColumns count="3">
    <tableColumn id="1" xr3:uid="{273993A2-A913-46BF-9C9C-B207ADAA285E}" name="Kolumna1" dataDxfId="176"/>
    <tableColumn id="2" xr3:uid="{AD71B0E1-2755-4F36-9D8D-27E57101A703}" name="km" dataDxfId="175" dataCellStyle="Dziesiętny"/>
    <tableColumn id="3" xr3:uid="{020A8890-B77E-4371-BF76-D62CF468BC49}" name="%"/>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2DB2D825-B10C-4FC5-9088-5602D9D1F1C5}" name="Tabela4" displayName="Tabela4" ref="F1:Q7" totalsRowShown="0" headerRowDxfId="236">
  <autoFilter ref="F1:Q7" xr:uid="{37B7E73E-A3A7-4410-BF79-25D99D7E0328}"/>
  <tableColumns count="12">
    <tableColumn id="1" xr3:uid="{15C4B63E-7BE1-4CE7-BBDE-39952F6A784C}" name="PBDK - 09.2019"/>
    <tableColumn id="4" xr3:uid="{9D0AD58A-CD99-4264-8DD1-92F5D0050781}" name="2014"/>
    <tableColumn id="5" xr3:uid="{CF72B87A-BE76-4531-8706-2234DD734049}" name="2015"/>
    <tableColumn id="6" xr3:uid="{2AF704E0-1673-493B-8F56-091A05E0AFB4}" name="2016"/>
    <tableColumn id="7" xr3:uid="{8506EB64-09DF-4A76-B175-47DE6DDC63D7}" name="2017"/>
    <tableColumn id="8" xr3:uid="{7DC9E307-6D29-4783-9C5F-84DE43AF14E2}" name="2018"/>
    <tableColumn id="9" xr3:uid="{87035115-0739-4E33-AAE6-5C4502DACD55}" name="2019"/>
    <tableColumn id="10" xr3:uid="{4CF73FF0-EC98-4FC2-AFD4-8579386D49CC}" name="2020"/>
    <tableColumn id="11" xr3:uid="{F1B5D0D3-B0AB-4203-8DCF-345D26E48C7B}" name="2021"/>
    <tableColumn id="12" xr3:uid="{6B53160C-BE91-4C59-B387-B7BAE1C4DAF3}" name="2022"/>
    <tableColumn id="13" xr3:uid="{4CFBB7B9-53F4-4F82-8761-85B46983E16C}" name="2023"/>
    <tableColumn id="14" xr3:uid="{8AF7B21A-2C13-40F1-AD02-AE094154E906}" name="razem" dataDxfId="235">
      <calculatedColumnFormula>SUM(Tabela4[[#This Row],[2014]:[2023]])</calculatedColumnFormula>
    </tableColumn>
  </tableColumns>
  <tableStyleInfo name="TableStyleMedium2" showFirstColumn="0" showLastColumn="0" showRowStripes="1" showColumnStripes="0"/>
</table>
</file>

<file path=xl/tables/table4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3" xr:uid="{DDA1D2E0-5782-42B6-9832-2B7AEE1C771C}" name="Tabela43" displayName="Tabela43" ref="B110:E111" totalsRowShown="0">
  <autoFilter ref="B110:E111" xr:uid="{3C0B55C8-CFBE-4279-877D-D1FAA7E913FE}"/>
  <tableColumns count="4">
    <tableColumn id="1" xr3:uid="{3B0E797B-B072-498A-B01E-849D99512C89}" name="Kalkulacja" dataDxfId="174" dataCellStyle="Normalny 5"/>
    <tableColumn id="2" xr3:uid="{5CB478D6-B9A8-4170-A259-0D3D872CFDA2}" name="km" dataDxfId="173" dataCellStyle="Normalny 5">
      <calculatedColumnFormula>C108</calculatedColumnFormula>
    </tableColumn>
    <tableColumn id="3" xr3:uid="{A3D14000-1CFE-4D77-B835-E195508E6EB2}" name="koszt prac na 1 km drogi" dataDxfId="172" dataCellStyle="Normalny 5">
      <calculatedColumnFormula>Tabela41[zł/1 km]</calculatedColumnFormula>
    </tableColumn>
    <tableColumn id="4" xr3:uid="{4DC4DCDE-17DE-455B-A9CC-175622424587}" name="razem" dataDxfId="171" dataCellStyle="Dziesiętny">
      <calculatedColumnFormula>D111*C111</calculatedColumnFormula>
    </tableColumn>
  </tableColumns>
  <tableStyleInfo name="TableStyleMedium2" showFirstColumn="0" showLastColumn="0" showRowStripes="1" showColumnStripes="0"/>
</table>
</file>

<file path=xl/tables/table4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ABD6FB6B-BE61-40E0-9907-105842066ECC}" name="Tabela44" displayName="Tabela44" ref="B116:E134" totalsRowShown="0">
  <autoFilter ref="B116:E134" xr:uid="{64DF5447-60A6-4555-8BA2-58D512057DEA}"/>
  <tableColumns count="4">
    <tableColumn id="1" xr3:uid="{87A54BD8-A6D9-4726-B899-0634EE477CF6}" name="Nazwa"/>
    <tableColumn id="2" xr3:uid="{FEC92930-38B3-4F83-A055-B15A43B291D4}" name="Drogi gminne i powiatowe"/>
    <tableColumn id="3" xr3:uid="{B66A8FFD-544B-4CE2-B891-F9F06D944041}" name="udział %  dróg lokalnych województwa w ogóle dróg lokalnych"/>
    <tableColumn id="4" xr3:uid="{282FCFD8-2D1E-43CD-9B1D-F6FA4A3722E6}" name="udział kwotowy województwa "/>
  </tableColumns>
  <tableStyleInfo name="TableStyleMedium2" showFirstColumn="0" showLastColumn="0" showRowStripes="1" showColumnStripes="0"/>
</table>
</file>

<file path=xl/tables/table4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5" xr:uid="{FDD47793-6C2C-4DDF-A207-DD79AC9AF10B}" name="Tabela45" displayName="Tabela45" ref="B2:E3" totalsRowShown="0">
  <autoFilter ref="B2:E3" xr:uid="{C3F273C7-AC1A-4AA7-8A8A-D8B0F4AB8520}"/>
  <tableColumns count="4">
    <tableColumn id="1" xr3:uid="{CF67A055-EA49-4221-B8FF-888C079407A6}" name="KSZR" dataDxfId="170"/>
    <tableColumn id="2" xr3:uid="{1C82B838-6FE1-4E90-A40A-24DCA5AF58AD}" name="PLN" dataDxfId="169" dataCellStyle="Dziesiętny"/>
    <tableColumn id="3" xr3:uid="{822052E6-E070-477E-B637-D821AB2742CB}" name="km"/>
    <tableColumn id="6" xr3:uid="{A936E947-0D9B-4B99-8E44-4C8DC1B5D048}" name="pln/1 km" dataDxfId="168">
      <calculatedColumnFormula>C3/D3</calculatedColumnFormula>
    </tableColumn>
  </tableColumns>
  <tableStyleInfo name="TableStyleMedium2" showFirstColumn="0" showLastColumn="0" showRowStripes="1" showColumnStripes="0"/>
</table>
</file>

<file path=xl/tables/table4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6" xr:uid="{3ED3550E-F6BB-4AB7-A441-12E4E45B5C93}" name="Tabela46" displayName="Tabela46" ref="B5:C8" totalsRowShown="0">
  <autoFilter ref="B5:C8" xr:uid="{0AD9B0A4-7992-4DAE-A72F-1A5165142B5E}"/>
  <tableColumns count="2">
    <tableColumn id="1" xr3:uid="{27080B1F-3C3C-45E8-8E6C-063DC417EF16}" name="kalkulacje" dataDxfId="167"/>
    <tableColumn id="2" xr3:uid="{27EDB98D-7451-42DA-8A28-9B1D6171F9FE}" name="km" dataDxfId="166"/>
  </tableColumns>
  <tableStyleInfo name="TableStyleMedium2" showFirstColumn="0" showLastColumn="0" showRowStripes="1" showColumnStripes="0"/>
</table>
</file>

<file path=xl/tables/table4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7" xr:uid="{F39EB432-D53F-4496-A558-B48E451A958D}" name="Tabela47" displayName="Tabela47" ref="B11:D15" totalsRowCount="1" headerRowDxfId="165" totalsRowDxfId="164">
  <autoFilter ref="B11:D14" xr:uid="{B4A93703-4E57-4C33-B91B-59AF9DE0D62F}"/>
  <tableColumns count="3">
    <tableColumn id="1" xr3:uid="{32A47C27-7CBC-425A-A611-1C0DC6600A7A}" name="kalkulacja" totalsRowLabel="szacunek potrzeb finansowych" dataDxfId="163" totalsRowDxfId="162"/>
    <tableColumn id="2" xr3:uid="{AD23DA19-D2D7-4CD7-8903-3966C280D88A}" name="jednostka" totalsRowLabel="mln zł" totalsRowDxfId="161"/>
    <tableColumn id="3" xr3:uid="{DB8D2871-C53B-4DB7-8521-6BEDDDAB1751}" name="wartość za 1 km" totalsRowFunction="custom" totalsRowDxfId="160">
      <totalsRowFormula>D14/1000000</totalsRowFormula>
    </tableColumn>
  </tableColumns>
  <tableStyleInfo name="TableStyleMedium2" showFirstColumn="0" showLastColumn="0" showRowStripes="1" showColumnStripes="0"/>
</table>
</file>

<file path=xl/tables/table4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8" xr:uid="{2677BDCE-E2C6-454C-A9E2-B3419950329D}" name="Tabela48" displayName="Tabela48" ref="B17:E36" totalsRowShown="0" headerRowDxfId="159">
  <autoFilter ref="B17:E36" xr:uid="{741BCE40-99AB-4761-9FC9-F20BF8B7E8CC}"/>
  <tableColumns count="4">
    <tableColumn id="1" xr3:uid="{5EA05D78-4E81-444E-8970-C96835471722}" name="Kolumna1" dataDxfId="158"/>
    <tableColumn id="2" xr3:uid="{2F92BE36-F55C-49AE-B593-5EF939B0A5AF}" name="Drogi krajowe" dataDxfId="157" dataCellStyle="Dziesiętny"/>
    <tableColumn id="3" xr3:uid="{F1D4CE34-4AFD-460A-9D64-4AC3F2AD351D}" name="udział w całości sieci dróg krajowych" dataDxfId="156" dataCellStyle="Procentowy"/>
    <tableColumn id="4" xr3:uid="{A29BFD34-E5D2-4100-8AC0-A3212155DB80}" name="szacowana alokacja w realizacji KSZR" dataDxfId="155" dataCellStyle="Dziesiętny"/>
  </tableColumns>
  <tableStyleInfo name="TableStyleMedium2" showFirstColumn="0" showLastColumn="0" showRowStripes="1" showColumnStripes="0"/>
</table>
</file>

<file path=xl/tables/table4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9" xr:uid="{3CDFF23D-4828-4CC1-9A0F-E8A7CA01CB09}" name="Tabela49" displayName="Tabela49" ref="B2:E16" totalsRowShown="0" headerRowDxfId="154">
  <autoFilter ref="B2:E16" xr:uid="{CAF199BB-1D74-41E4-9B0B-04EC09A525F9}"/>
  <tableColumns count="4">
    <tableColumn id="1" xr3:uid="{61B2BBCF-FAA6-4B42-A40A-C24C54C4EEBE}" name="Zarządca"/>
    <tableColumn id="2" xr3:uid="{CBAC917E-FBAB-40AC-9EAE-04C23196B10C}" name="Długość linii będących w zarządzie (w km)" dataDxfId="153" dataCellStyle="Dziesiętny"/>
    <tableColumn id="3" xr3:uid="{AB76612E-9319-48BB-A4C1-54D551DD39D9}" name="Długość linii będących w zarządzie (w km) według RMMS" dataDxfId="152" dataCellStyle="Dziesiętny"/>
    <tableColumn id="4" xr3:uid="{76A3B97B-CA0C-4860-99F7-B1A2CD5EFC39}" name="Długość linii będących w zarządzie (w km) według BDL GUS" dataDxfId="151" dataCellStyle="Dziesiętny"/>
  </tableColumns>
  <tableStyleInfo name="TableStyleMedium2" showFirstColumn="0" showLastColumn="0" showRowStripes="1" showColumnStripes="0"/>
</table>
</file>

<file path=xl/tables/table4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0" xr:uid="{0BE5BF8F-C685-45CB-8A24-B042B6E4E467}" name="Tabela50" displayName="Tabela50" ref="B19:D22" totalsRowShown="0">
  <autoFilter ref="B19:D22" xr:uid="{54657052-D797-4B8B-BBEF-4D2032FA0A70}"/>
  <tableColumns count="3">
    <tableColumn id="1" xr3:uid="{E7C228CE-9B3D-463D-897D-A6B510BDC621}" name="Stan techniczny linii PKP PLK"/>
    <tableColumn id="2" xr3:uid="{B5445757-EE77-4971-831F-523E5931C5FC}" name="%" dataDxfId="150" dataCellStyle="Procentowy"/>
    <tableColumn id="3" xr3:uid="{35164386-A138-4B16-8ACF-23CD058B983C}" name="km" dataDxfId="149"/>
  </tableColumns>
  <tableStyleInfo name="TableStyleMedium2" showFirstColumn="0" showLastColumn="0" showRowStripes="1" showColumnStripes="0"/>
</table>
</file>

<file path=xl/tables/table4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1" xr:uid="{576A07AD-FFE0-4B6A-9B9E-18203199E4C6}" name="Tabela51" displayName="Tabela51" ref="B24:F29" totalsRowShown="0">
  <autoFilter ref="B24:F29" xr:uid="{F692C155-E696-45FB-9E44-F518C8EED17D}"/>
  <tableColumns count="5">
    <tableColumn id="1" xr3:uid="{07140ED3-CFF3-4C1C-B3E6-FCA43737F34D}" name="wskaźniki wg SL2014"/>
    <tableColumn id="2" xr3:uid="{C2140D87-DE5E-46B8-8727-CAD6302F5378}" name="Kolumna1"/>
    <tableColumn id="3" xr3:uid="{0321A965-7C31-4312-BE98-805D8AA33223}" name="liczba projektów"/>
    <tableColumn id="4" xr3:uid="{DDC323DB-5E39-4F8F-9E9F-78B941D4FE39}" name="wartośc projektów" dataDxfId="148" dataCellStyle="Dziesiętny"/>
    <tableColumn id="5" xr3:uid="{6DE42683-848E-44B1-AB43-DC746E4168C9}" name="wskaźnik" dataDxfId="147" dataCellStyle="Dziesiętny"/>
  </tableColumns>
  <tableStyleInfo name="TableStyleMedium2" showFirstColumn="0" showLastColumn="0" showRowStripes="1" showColumnStripes="0"/>
</table>
</file>

<file path=xl/tables/table4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2" xr:uid="{D4874DAD-A931-4E91-82E5-6BFE46746107}" name="Tabela52" displayName="Tabela52" ref="B31:C34" totalsRowShown="0">
  <autoFilter ref="B31:C34" xr:uid="{035A6DCC-EFAE-4382-8E52-91628280A03D}"/>
  <tableColumns count="2">
    <tableColumn id="1" xr3:uid="{A65B97EE-618A-4D1D-97FC-DCE2CCBDBAFC}" name="Koszt szacunkowy"/>
    <tableColumn id="2" xr3:uid="{737B7EB6-4B11-46F0-AAD3-9464E68DF05C}" name="zł"/>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D335B7CE-8C11-4A86-A094-DE07B24DA43A}" name="Tabela5" displayName="Tabela5" ref="B94:D111" insertRowShift="1" totalsRowShown="0">
  <autoFilter ref="B94:D111" xr:uid="{EF4AFE45-0BA4-48A1-8BDA-41FCA697F5FA}"/>
  <tableColumns count="3">
    <tableColumn id="1" xr3:uid="{785940A6-ACD9-42CD-BC9D-BC258DA433FE}" name="PL - liczba km dróg ekspresowych w 2017"/>
    <tableColumn id="2" xr3:uid="{27E9E812-5F59-465E-B879-FA488A7D5604}" name="jendostka"/>
    <tableColumn id="3" xr3:uid="{470FCCE5-7234-49D7-843D-3F9157FBCFA9}" name="wartość"/>
  </tableColumns>
  <tableStyleInfo name="TableStyleMedium2" showFirstColumn="0" showLastColumn="0" showRowStripes="1" showColumnStripes="0"/>
</table>
</file>

<file path=xl/tables/table5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3" xr:uid="{82F92DD9-4062-416D-9DA3-727CD882790B}" name="Tabela53" displayName="Tabela53" ref="B36:C63" totalsRowShown="0" headerRowBorderDxfId="146" tableBorderDxfId="145">
  <autoFilter ref="B36:C63" xr:uid="{61AE3C79-CA0C-42B3-BC32-8F9FB03D2E7C}"/>
  <tableColumns count="2">
    <tableColumn id="1" xr3:uid="{AF1A0A2C-CDCE-4C91-BFA4-82C5FB0F2510}" name="Member state" dataCellStyle="B2.text"/>
    <tableColumn id="2" xr3:uid="{E3C686FF-57F4-4395-83FE-6DD18B458528}" name="Utrzymanie (euro)/1 km" dataDxfId="144" dataCellStyle="Dziesiętny"/>
  </tableColumns>
  <tableStyleInfo name="TableStyleMedium2" showFirstColumn="0" showLastColumn="0" showRowStripes="1" showColumnStripes="0"/>
</table>
</file>

<file path=xl/tables/table5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D7E72DBC-4494-4AFA-AD6E-119422748AB3}" name="Tabela54" displayName="Tabela54" ref="B66:C70" totalsRowShown="0">
  <autoFilter ref="B66:C70" xr:uid="{5AE7E6F1-6B00-4519-839B-A589AD433BCE}"/>
  <tableColumns count="2">
    <tableColumn id="1" xr3:uid="{A96E5E97-9E3A-49AA-9B26-96A4FD1ED4F0}" name="Koszt utrzymania w PL"/>
    <tableColumn id="2" xr3:uid="{4FB7C713-EB6E-47DD-B163-7703F2F18EC3}" name="wartość w zł" dataDxfId="143" dataCellStyle="Dziesiętny">
      <calculatedColumnFormula>C56*4.3</calculatedColumnFormula>
    </tableColumn>
  </tableColumns>
  <tableStyleInfo name="TableStyleMedium2" showFirstColumn="0" showLastColumn="0" showRowStripes="1" showColumnStripes="0"/>
</table>
</file>

<file path=xl/tables/table5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5" xr:uid="{E53A3680-EC9F-4317-B1BB-78FC36286E8A}" name="Tabela55" displayName="Tabela55" ref="B72:D76" totalsRowShown="0">
  <autoFilter ref="B72:D76" xr:uid="{DBE82FF5-0C44-4395-951A-9E21D8DE8927}"/>
  <tableColumns count="3">
    <tableColumn id="1" xr3:uid="{508D6B54-EB5E-49DF-AA0D-24F6E1C61C28}" name="Zabezpieczone środki na utrzymanie"/>
    <tableColumn id="2" xr3:uid="{B4D21471-3EBE-4882-B8A2-31ADD26CE82C}" name="jednostka"/>
    <tableColumn id="3" xr3:uid="{D104F9F1-CC7C-4C1F-991E-3C069028384D}" name="wartość" dataDxfId="142" dataCellStyle="Dziesiętny"/>
  </tableColumns>
  <tableStyleInfo name="TableStyleMedium2" showFirstColumn="0" showLastColumn="0" showRowStripes="1" showColumnStripes="0"/>
</table>
</file>

<file path=xl/tables/table5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6" xr:uid="{C75B7AAA-5C3E-4EB2-B006-F1935F71FA09}" name="Tabela56" displayName="Tabela56" ref="B79:E84" totalsRowShown="0">
  <autoFilter ref="B79:E84" xr:uid="{3E7AC682-23C9-445D-82D0-C1B37A470608}"/>
  <tableColumns count="4">
    <tableColumn id="1" xr3:uid="{54345309-683B-45A4-96DB-BBBF7BCF2627}" name="CPK" dataDxfId="141"/>
    <tableColumn id="2" xr3:uid="{2AAA5885-E30E-43FB-BD06-EC4AD9036FB5}" name="jednostka"/>
    <tableColumn id="3" xr3:uid="{CBDC5791-E1D3-4711-B651-977162178C2F}" name="wartość" dataDxfId="140" dataCellStyle="Dziesiętny"/>
    <tableColumn id="4" xr3:uid="{18A4D676-A956-4648-AD26-2394873C5C82}" name="suma w mln zł" dataDxfId="139" dataCellStyle="Dziesiętny"/>
  </tableColumns>
  <tableStyleInfo name="TableStyleMedium2" showFirstColumn="0" showLastColumn="0" showRowStripes="1" showColumnStripes="0"/>
</table>
</file>

<file path=xl/tables/table5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7" xr:uid="{474F3B8D-13D3-4EBD-892F-8A3D98C62AB2}" name="Tabela57" displayName="Tabela57" ref="B86:C91" totalsRowShown="0">
  <autoFilter ref="B86:C91" xr:uid="{6CBB00F4-CBB6-4656-AF79-599450ECA846}"/>
  <tableColumns count="2">
    <tableColumn id="1" xr3:uid="{0FAD5C0F-6884-4607-87F8-35827C6EFA18}" name="Potrzeby finansowe"/>
    <tableColumn id="2" xr3:uid="{15352466-ADF9-4183-B8B3-3B6216F3FB05}" name="mln zł" dataDxfId="138" dataCellStyle="Dziesiętny"/>
  </tableColumns>
  <tableStyleInfo name="TableStyleMedium2" showFirstColumn="0" showLastColumn="0" showRowStripes="1" showColumnStripes="0"/>
</table>
</file>

<file path=xl/tables/table5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8" xr:uid="{86B84EE7-A538-4641-92A5-E511200A864F}" name="Tabela58" displayName="Tabela58" ref="B93:D96" totalsRowShown="0">
  <autoFilter ref="B93:D96" xr:uid="{33A359D8-C4F3-49D8-B727-E148DEA859BF}"/>
  <tableColumns count="3">
    <tableColumn id="1" xr3:uid="{91C03457-ADCF-442E-B232-3D883EF458E1}" name="Podsumowanie"/>
    <tableColumn id="2" xr3:uid="{803D045D-0B81-46CA-93F8-99876E2BACEE}" name="jednostka">
      <calculatedColumnFormula>C93</calculatedColumnFormula>
    </tableColumn>
    <tableColumn id="3" xr3:uid="{79915F8C-8A9E-4D94-B59D-A4AD1FAAB861}" name="wartość"/>
  </tableColumns>
  <tableStyleInfo name="TableStyleMedium2" showFirstColumn="0" showLastColumn="0" showRowStripes="1" showColumnStripes="0"/>
</table>
</file>

<file path=xl/tables/table5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9" xr:uid="{1BF2EE55-DAF4-406D-9D32-E1B6CE67779D}" name="Tabela59" displayName="Tabela59" ref="B1:C41" totalsRowShown="0" headerRowDxfId="137">
  <autoFilter ref="B1:C41" xr:uid="{229FFA6C-3177-4FEB-B571-10B06970419E}"/>
  <tableColumns count="2">
    <tableColumn id="1" xr3:uid="{36C3B385-B208-412C-A025-FD2DF6C8CE7F}" name="Lista aktywnych terminali intermodalnych" dataDxfId="136"/>
    <tableColumn id="2" xr3:uid="{7A71D664-97C8-4F90-8473-213ADC48CD92}" name="nazwa" dataDxfId="135"/>
  </tableColumns>
  <tableStyleInfo name="TableStyleMedium2" showFirstColumn="0" showLastColumn="0" showRowStripes="1" showColumnStripes="0"/>
</table>
</file>

<file path=xl/tables/table5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0" xr:uid="{E237A923-2146-44F1-86BB-645CD7E279E8}" name="Tabela60" displayName="Tabela60" ref="B43:D46" totalsRowShown="0">
  <autoFilter ref="B43:D46" xr:uid="{798AE0A0-3D3F-4B30-9F11-F83FBE682F16}"/>
  <tableColumns count="3">
    <tableColumn id="1" xr3:uid="{D58F5FF3-3FF2-4A1D-B9CC-B852848C7582}" name="Kolumna1" dataDxfId="134"/>
    <tableColumn id="2" xr3:uid="{2025BBF9-62A8-491A-80C9-AE64345C5D63}" name="jednostka"/>
    <tableColumn id="3" xr3:uid="{DDB4949D-8AC8-4C7A-AC3B-77E9B5DE7650}" name="Kolumna2">
      <calculatedColumnFormula>(D43/40)/10000</calculatedColumnFormula>
    </tableColumn>
  </tableColumns>
  <tableStyleInfo name="TableStyleMedium2" showFirstColumn="0" showLastColumn="0" showRowStripes="1" showColumnStripes="0"/>
</table>
</file>

<file path=xl/tables/table5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1" xr:uid="{9CF8E1FF-78BC-49F4-9B5F-7986D0971350}" name="Tabela61" displayName="Tabela61" ref="B50:C64" totalsRowShown="0" headerRowBorderDxfId="133" tableBorderDxfId="132" totalsRowBorderDxfId="131">
  <autoFilter ref="B50:C64" xr:uid="{CDD47E4E-1A2C-4063-BBFA-9616A8CF1086}"/>
  <tableColumns count="2">
    <tableColumn id="1" xr3:uid="{4E5E9C1A-F88F-4BDB-93B8-1A03C0A4E769}" name="Wskażnik kosztów inwestycji w terminale" dataDxfId="130"/>
    <tableColumn id="2" xr3:uid="{8FA5CC79-7B9E-4DDD-B5B1-3CF486B25AD9}" name="wartość całkowita" dataDxfId="129" dataCellStyle="Dziesiętny"/>
  </tableColumns>
  <tableStyleInfo name="TableStyleMedium2" showFirstColumn="0" showLastColumn="0" showRowStripes="1" showColumnStripes="0"/>
</table>
</file>

<file path=xl/tables/table5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2" xr:uid="{4512EF46-990A-4CCD-8FBD-3DEAF5E3B5A2}" name="Tabela62" displayName="Tabela62" ref="B69:D77" totalsRowShown="0">
  <autoFilter ref="B69:D77" xr:uid="{BD86B49C-2A1C-4F1A-A0BA-63ED93FDB7EF}"/>
  <tableColumns count="3">
    <tableColumn id="1" xr3:uid="{35D14D30-81A9-4FFC-9D60-A0E67FD87992}" name="Kolumna1" dataDxfId="128" dataCellStyle="Dziesiętny"/>
    <tableColumn id="2" xr3:uid="{70AFF89C-C669-4629-8563-A4DDB61524CD}" name="jednostka" dataDxfId="127" dataCellStyle="Dziesiętny"/>
    <tableColumn id="3" xr3:uid="{1B2921B1-B5AD-4F10-A0E3-A88F66CE4C59}" name="wartość"/>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190C38FF-6F7A-4CE1-94D0-9C043C46DB8E}" name="Tabela6" displayName="Tabela6" ref="B113:D124" insertRowShift="1" totalsRowShown="0">
  <autoFilter ref="B113:D124" xr:uid="{63A40233-4364-428D-92D1-0A2CCB1A27E5}"/>
  <tableColumns count="3">
    <tableColumn id="1" xr3:uid="{55EC84A9-5AE0-42B0-A4E0-A650C0989545}" name="Wskaźnik"/>
    <tableColumn id="2" xr3:uid="{56A00C9F-57E3-41BC-86A3-B111F41FE91A}" name="jednostka"/>
    <tableColumn id="3" xr3:uid="{68ECCE9C-D0E3-4446-B751-97225BA69E32}" name="wartość" dataDxfId="0"/>
  </tableColumns>
  <tableStyleInfo name="TableStyleMedium2" showFirstColumn="0" showLastColumn="0" showRowStripes="1" showColumnStripes="0"/>
</table>
</file>

<file path=xl/tables/table6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3" xr:uid="{C458666F-5A17-467D-84E3-E5B0DE3F234A}" name="Tabela63" displayName="Tabela63" ref="B80:D81" totalsRowShown="0">
  <autoFilter ref="B80:D81" xr:uid="{80D91DC4-43C3-44DF-B626-BB9A94183CCD}"/>
  <tableColumns count="3">
    <tableColumn id="1" xr3:uid="{8124291E-244C-4F05-952E-57D629A98949}" name="koszt budowy/modernizacji bocznic w mln zł"/>
    <tableColumn id="2" xr3:uid="{27686BA8-FEF7-44F4-B8D6-463D6DC41887}" name="liczba bocznic"/>
    <tableColumn id="3" xr3:uid="{4904DBB7-35A9-44EA-B05A-75C9C0331CBE}" name="wartość łączna" dataDxfId="126" dataCellStyle="Dziesiętny">
      <calculatedColumnFormula>C81*B81</calculatedColumnFormula>
    </tableColumn>
  </tableColumns>
  <tableStyleInfo name="TableStyleMedium2" showFirstColumn="0" showLastColumn="0" showRowStripes="1" showColumnStripes="0"/>
</table>
</file>

<file path=xl/tables/table6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33DD785-CEBE-4496-955D-D6EC392DCD28}" name="Tabela64" displayName="Tabela64" ref="B2:G7" totalsRowShown="0">
  <autoFilter ref="B2:G7" xr:uid="{CDB12C2C-069A-4AA2-B712-C8818EC65261}"/>
  <tableColumns count="6">
    <tableColumn id="1" xr3:uid="{551C03FA-F471-4A8E-85E7-FDD2D492E04A}" name="lokomotywy elektryczne" dataDxfId="125"/>
    <tableColumn id="2" xr3:uid="{C5150B97-4C1F-4D63-A46B-5FB08706A45B}" name="sztuk"/>
    <tableColumn id="3" xr3:uid="{645F1FEB-6848-41DA-9AFD-1C42DB088873}" name="model"/>
    <tableColumn id="4" xr3:uid="{1F3F01B0-4380-48C5-9452-9E632984EECF}" name="producent"/>
    <tableColumn id="5" xr3:uid="{26EB857E-31C7-45E9-A6DA-4F60B3089647}" name="koszt łączny" dataDxfId="124" dataCellStyle="Dziesiętny"/>
    <tableColumn id="6" xr3:uid="{2044123A-E8FB-4FB1-B416-8544E4A38D19}" name="koszt jednostkowy" dataDxfId="123"/>
  </tableColumns>
  <tableStyleInfo name="TableStyleMedium2" showFirstColumn="0" showLastColumn="0" showRowStripes="1" showColumnStripes="0"/>
</table>
</file>

<file path=xl/tables/table6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5" xr:uid="{8B8726A1-C529-4746-AAAA-451549842DD0}" name="Tabela65" displayName="Tabela65" ref="B9:H13" totalsRowShown="0" headerRowDxfId="122" dataDxfId="121">
  <autoFilter ref="B9:H13" xr:uid="{77F78754-021C-44E5-A56E-94CACD3BC9C6}"/>
  <tableColumns count="7">
    <tableColumn id="1" xr3:uid="{5BBBE8DE-8EC1-40DD-A1E0-F880B9E49019}" name="lokomotywy spalinowe" dataDxfId="120"/>
    <tableColumn id="2" xr3:uid="{1C05F56A-7E41-411C-958F-245410D9C8C4}" name="sztuk" dataDxfId="119"/>
    <tableColumn id="3" xr3:uid="{DB981130-8CD9-4E40-9BC1-2E2C664FD1F1}" name="model" dataDxfId="118"/>
    <tableColumn id="4" xr3:uid="{E489E9E6-6ADD-44DE-8C8A-2B2604FA41A2}" name="producent" dataDxfId="117"/>
    <tableColumn id="5" xr3:uid="{84561B73-5488-4438-A86A-CDB52D89C6C7}" name="koszt łączny" dataDxfId="116"/>
    <tableColumn id="6" xr3:uid="{E37D2990-ACAE-402D-9DF9-C7EF721B63E8}" name="koszt jednostkowy" dataDxfId="115"/>
    <tableColumn id="7" xr3:uid="{96B18F11-7AF8-4245-9794-CB2B74440465}" name="uwagi" dataDxfId="114"/>
  </tableColumns>
  <tableStyleInfo name="TableStyleMedium2" showFirstColumn="0" showLastColumn="0" showRowStripes="1" showColumnStripes="0"/>
</table>
</file>

<file path=xl/tables/table6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6" xr:uid="{BBFA434C-1CB3-492C-B8F8-C6B288CA3780}" name="Tabela66" displayName="Tabela66" ref="B15:G19" totalsRowShown="0" headerRowDxfId="113">
  <autoFilter ref="B15:G19" xr:uid="{FDD52BC3-90EF-4550-B8F4-329F3AF197A9}"/>
  <tableColumns count="6">
    <tableColumn id="1" xr3:uid="{100B970B-D5C3-4325-98AC-0726DE591BFA}" name="wagony"/>
    <tableColumn id="2" xr3:uid="{895AF918-EBB8-4907-8340-A36C51676B20}" name="sztuk"/>
    <tableColumn id="3" xr3:uid="{DC4C2730-9F3C-4B09-A5FF-823680FC397D}" name="model"/>
    <tableColumn id="4" xr3:uid="{4DAD6257-50EB-4CE2-8B6C-79CFF8ED157F}" name="producent"/>
    <tableColumn id="5" xr3:uid="{F38A3218-8817-4C1D-9C4E-C148C8074FA7}" name="koszt łączny"/>
    <tableColumn id="6" xr3:uid="{E7089B50-4AA7-41E6-944B-DB768646CC98}" name="koszt jednostkowy" dataDxfId="112" dataCellStyle="Dziesiętny"/>
  </tableColumns>
  <tableStyleInfo name="TableStyleMedium2" showFirstColumn="0" showLastColumn="0" showRowStripes="1" showColumnStripes="0"/>
</table>
</file>

<file path=xl/tables/table6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7" xr:uid="{B09D5F72-1019-4C4C-B9DA-EDCC9DF34190}" name="Tabela67" displayName="Tabela67" ref="B21:G27" totalsRowShown="0" headerRowDxfId="111">
  <autoFilter ref="B21:G27" xr:uid="{7B9AFA6E-643A-4239-96B3-E5713ACD65BC}"/>
  <tableColumns count="6">
    <tableColumn id="1" xr3:uid="{0995D4FE-636D-4010-8E55-7484C5E56693}" name="EZT" dataDxfId="110" dataCellStyle="Hiperłącze"/>
    <tableColumn id="2" xr3:uid="{81624052-D170-479B-BC7F-C3C3947201E7}" name="sztuk"/>
    <tableColumn id="3" xr3:uid="{153BFA94-F605-433B-8F6F-4D7A6032F4D7}" name="model"/>
    <tableColumn id="4" xr3:uid="{160416D2-93D4-411D-96BE-0B40A92D1F5E}" name="producent"/>
    <tableColumn id="5" xr3:uid="{8E0A04ED-326A-45D5-ACCC-4656F531BFBE}" name="koszt łączny" dataDxfId="109" dataCellStyle="Dziesiętny"/>
    <tableColumn id="6" xr3:uid="{7571F6EA-6276-4314-B466-F21CC4F3AC3F}" name="koszt jednostkowy" dataDxfId="108" dataCellStyle="Dziesiętny">
      <calculatedColumnFormula>F22/C22</calculatedColumnFormula>
    </tableColumn>
  </tableColumns>
  <tableStyleInfo name="TableStyleMedium2" showFirstColumn="0" showLastColumn="0" showRowStripes="1" showColumnStripes="0"/>
</table>
</file>

<file path=xl/tables/table6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8" xr:uid="{C12C7FC1-4ED3-45ED-8F0E-AA0FBF428776}" name="Tabela68" displayName="Tabela68" ref="B29:G35" totalsRowShown="0" headerRowDxfId="107">
  <autoFilter ref="B29:G35" xr:uid="{B6A3B853-A96A-45C7-BEB6-CAF89B69C874}"/>
  <tableColumns count="6">
    <tableColumn id="1" xr3:uid="{504A14B0-CF5C-4BCB-BB6F-03EA2BDA899E}" name="Spalinowe ZT"/>
    <tableColumn id="2" xr3:uid="{D7C31873-6FC8-43A8-A429-502C117D324F}" name="sztuk"/>
    <tableColumn id="3" xr3:uid="{9F0BBFCF-9AB5-4A25-AF26-0D39F7F85F3A}" name="model"/>
    <tableColumn id="4" xr3:uid="{2D23EAA4-1AE1-4A27-BF36-FD68622E5170}" name="producent"/>
    <tableColumn id="5" xr3:uid="{3B4A39E9-EEEF-4E13-99B7-E45CB8C4BEFD}" name="koszt łączny" dataDxfId="106" dataCellStyle="Dziesiętny"/>
    <tableColumn id="6" xr3:uid="{D3E9CCAC-84B3-41FB-B1F5-4F991693AF57}" name="koszt jednostkowy" dataDxfId="105" dataCellStyle="Dziesiętny"/>
  </tableColumns>
  <tableStyleInfo name="TableStyleMedium2" showFirstColumn="0" showLastColumn="0" showRowStripes="1" showColumnStripes="0"/>
</table>
</file>

<file path=xl/tables/table6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9" xr:uid="{4F33869F-F529-44CB-8943-F09E8CD79FC5}" name="Tabela69" displayName="Tabela69" ref="B39:G46" totalsRowShown="0">
  <autoFilter ref="B39:G46" xr:uid="{28383955-4A48-4CFE-9BA8-60F6EB2B5AA6}"/>
  <tableColumns count="6">
    <tableColumn id="1" xr3:uid="{27BB2949-BAC4-4E27-B77C-12853BD27016}" name="Rodzaj pojazdu kolejowego (2018)" dataDxfId="104"/>
    <tableColumn id="2" xr3:uid="{D7FC83B1-19C0-4D39-9C19-951107BDB4D2}" name="w tym:"/>
    <tableColumn id="3" xr3:uid="{43F854C4-31ED-4F84-A420-46C0688CB25B}" name="Powyżej 40 lat w 2018"/>
    <tableColumn id="4" xr3:uid="{F2868B89-D786-4C4B-BCDB-7E5D16285F4B}" name="Powyżej 40 lat w 2025"/>
    <tableColumn id="5" xr3:uid="{303E8601-F3D4-4E7B-9617-E574FE878EDA}" name="Powyżej 40 lat w 2030"/>
    <tableColumn id="6" xr3:uid="{1492F04F-D8C4-458B-97A5-6C8442162B44}" name="razem w zł" dataDxfId="103" dataCellStyle="Dziesiętny"/>
  </tableColumns>
  <tableStyleInfo name="TableStyleMedium2" showFirstColumn="0" showLastColumn="0" showRowStripes="1" showColumnStripes="0"/>
</table>
</file>

<file path=xl/tables/table6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0" xr:uid="{6FF99222-3FEB-497D-9A11-1028BBAA9A28}" name="Tabela70" displayName="Tabela70" ref="B2:N12" totalsRowCount="1" headerRowDxfId="102">
  <autoFilter ref="B2:N11" xr:uid="{8C302812-8CD9-490C-90D9-972C4BFB40E3}"/>
  <tableColumns count="13">
    <tableColumn id="1" xr3:uid="{A0089A0A-6ACF-4315-8018-C677706C3106}" name="Tabor cargo w 2017 roku" dataDxfId="101" totalsRowDxfId="100"/>
    <tableColumn id="2" xr3:uid="{63408F5B-F87C-44A5-A5F8-06D8892FB97E}" name="szt." dataDxfId="99" totalsRowDxfId="98"/>
    <tableColumn id="3" xr3:uid="{EA73C97E-636E-4C2F-9CCF-D33E8C3F95A1}" name="Szacowana ilość w eksploatacji" dataDxfId="97" totalsRowDxfId="96"/>
    <tableColumn id="4" xr3:uid="{D5A9E4DF-4302-4ABB-81B6-0371B6891AF9}" name="w eksploatacji" dataDxfId="95" totalsRowDxfId="94" dataCellStyle="Dziesiętny"/>
    <tableColumn id="5" xr3:uid="{86A7841E-C1EF-4FF9-82D2-6DC4CB692D41}" name="prowadzone inwestycje"/>
    <tableColumn id="6" xr3:uid="{E95E09C6-8E97-4B2C-A4E4-BA0EEF22000F}" name="pozostaje w eksploatacji" dataDxfId="93" totalsRowDxfId="92"/>
    <tableColumn id="7" xr3:uid="{9DF9C1B0-816A-4A9B-98DF-5C221AC071C5}" name="modernizacja 75% taboru" dataDxfId="91" totalsRowDxfId="90">
      <calculatedColumnFormula>Tabela70[[#This Row],[pozostaje w eksploatacji]]*75%</calculatedColumnFormula>
    </tableColumn>
    <tableColumn id="8" xr3:uid="{DDE88F58-929C-467E-A85F-4234D32A598A}" name="koszt jednostkowy w zł" totalsRowLabel=" suma " dataDxfId="89" totalsRowDxfId="88" dataCellStyle="Dziesiętny"/>
    <tableColumn id="9" xr3:uid="{9532F04F-3006-4658-8EE7-3D0D312C2937}" name="razem modernizacja (mln zł)" totalsRowFunction="custom" dataDxfId="87" totalsRowDxfId="86" dataCellStyle="Dziesiętny">
      <calculatedColumnFormula>(Tabela70[[#This Row],[koszt jednostkowy w zł]]*Tabela70[[#This Row],[modernizacja 75% taboru]])/1000000</calculatedColumnFormula>
      <totalsRowFormula>SUM(Tabela70[razem modernizacja (mln zł)])</totalsRowFormula>
    </tableColumn>
    <tableColumn id="10" xr3:uid="{726502E6-E087-4055-96D4-AD7696AB966B}" name="zakup 25% taboru" dataDxfId="85" totalsRowDxfId="84">
      <calculatedColumnFormula>Tabela70[[#This Row],[pozostaje w eksploatacji]]*25%</calculatedColumnFormula>
    </tableColumn>
    <tableColumn id="11" xr3:uid="{5F05FA23-4B6B-4334-AACB-6BCCDB46E35E}" name="koszt jednostkowy3" dataDxfId="83" totalsRowDxfId="82" dataCellStyle="Dziesiętny"/>
    <tableColumn id="12" xr3:uid="{30B8346F-F9E2-481C-9F84-BAF865BA9849}" name="razem zakup (mln zł)" totalsRowFunction="custom" dataDxfId="81" totalsRowDxfId="80">
      <calculatedColumnFormula>(Tabela70[[#This Row],[koszt jednostkowy3]]*Tabela70[[#This Row],[zakup 25% taboru]])/1000000</calculatedColumnFormula>
      <totalsRowFormula>SUM(Tabela70[razem zakup (mln zł)])</totalsRowFormula>
    </tableColumn>
    <tableColumn id="13" xr3:uid="{BBD0C60A-FB56-49B2-B676-A70770A188DD}" name="Razem modernizacja i zakup" dataDxfId="79" totalsRowDxfId="78"/>
  </tableColumns>
  <tableStyleInfo name="TableStyleMedium2" showFirstColumn="0" showLastColumn="0" showRowStripes="1" showColumnStripes="0"/>
</table>
</file>

<file path=xl/tables/table6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1" xr:uid="{C5D1023E-70A7-4B86-BEBE-189EFD6C4D59}" name="Tabela71" displayName="Tabela71" ref="B15:E22" totalsRowShown="0" headerRowDxfId="77">
  <autoFilter ref="B15:E22" xr:uid="{DE95A56A-2D9F-4A53-A4D9-DECBC5A885D6}"/>
  <tableColumns count="4">
    <tableColumn id="1" xr3:uid="{8FCC5E53-3421-43CE-A6FC-32D8FFAA4DED}" name="Lata produkcji" dataDxfId="76"/>
    <tableColumn id="2" xr3:uid="{7B10B85D-3620-435F-853C-D91D44DEE3DC}" name="Liczba sztuk" dataDxfId="75"/>
    <tableColumn id="3" xr3:uid="{14CE1231-3B55-46A3-925D-5434E1F07386}" name="Udział %" dataDxfId="74"/>
    <tableColumn id="4" xr3:uid="{B390A82D-39BF-4AD2-9D12-91279C136298}" name="Wiek" dataDxfId="73"/>
  </tableColumns>
  <tableStyleInfo name="TableStyleMedium2" showFirstColumn="0" showLastColumn="0" showRowStripes="1" showColumnStripes="0"/>
</table>
</file>

<file path=xl/tables/table6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2" xr:uid="{A1B040C9-5058-48EC-A511-FD4BB17C98A7}" name="Tabela72" displayName="Tabela72" ref="B2:C15" totalsRowShown="0">
  <autoFilter ref="B2:C15" xr:uid="{2D81F8BC-D76C-4A59-80E1-6CD6B1FA26C6}"/>
  <tableColumns count="2">
    <tableColumn id="1" xr3:uid="{86990792-713D-44DC-8225-F6621D76E38A}" name="rodzaj inwestycji"/>
    <tableColumn id="2" xr3:uid="{7CD70B17-DE67-4249-8D42-58867B23E494}" name="szacunek kosztów w mln zł" dataDxfId="72" dataCellStyle="Dziesiętny"/>
  </tableColumns>
  <tableStyleInfo name="TableStyleMedium2"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C89ADBA5-C807-4789-9A0B-B611C2DBDF50}" name="Tabela7" displayName="Tabela7" ref="B135:D146" totalsRowShown="0" headerRowDxfId="234" headerRowBorderDxfId="233" tableBorderDxfId="232">
  <autoFilter ref="B135:D146" xr:uid="{1FFBF90A-AA16-48A1-8E7C-B1DA347C670E}"/>
  <tableColumns count="3">
    <tableColumn id="1" xr3:uid="{C89B1A68-2AB9-467B-8BDB-BA8402DC1229}" name="Wskaźnik"/>
    <tableColumn id="2" xr3:uid="{9B3FA969-836D-4ADE-A2B1-0B79B6503E5B}" name="jednostka"/>
    <tableColumn id="3" xr3:uid="{041DEB93-48DE-42C1-8A38-BD3F02668F79}" name="wartość"/>
  </tableColumns>
  <tableStyleInfo name="TableStyleMedium2" showFirstColumn="0" showLastColumn="0" showRowStripes="1" showColumnStripes="0"/>
</table>
</file>

<file path=xl/tables/table7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3" xr:uid="{CEE8F9C7-9D50-41C0-A0A2-3705E4D8412F}" name="Tabela73" displayName="Tabela73" ref="B2:D10" totalsRowShown="0">
  <autoFilter ref="B2:D10" xr:uid="{379E272B-6C02-4674-BB98-6742C2F99053}"/>
  <tableColumns count="3">
    <tableColumn id="1" xr3:uid="{50F3A538-5116-4A99-90EA-517037D46F85}" name="planowane inwestycje" dataDxfId="71"/>
    <tableColumn id="2" xr3:uid="{408C9392-68EE-434C-B038-05CF89995812}" name="Szacunkowe potrzeby inwestycyjne [mln zł]" dataDxfId="70" dataCellStyle="Dziesiętny"/>
    <tableColumn id="3" xr3:uid="{04DC0B20-F07F-4AB8-B267-F59E0F346181}" name="źródło informacji" dataDxfId="69"/>
  </tableColumns>
  <tableStyleInfo name="TableStyleMedium2" showFirstColumn="0" showLastColumn="0" showRowStripes="1" showColumnStripes="0"/>
</table>
</file>

<file path=xl/tables/table7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4" xr:uid="{61132106-CC86-42E9-A18F-E2A694CD4EFD}" name="Tabela74" displayName="Tabela74" ref="B13:C26" totalsRowShown="0">
  <autoFilter ref="B13:C26" xr:uid="{14B5A8AF-051D-45C6-87F3-604D0A2507B1}"/>
  <tableColumns count="2">
    <tableColumn id="1" xr3:uid="{119ECCC1-A628-4A2C-A11D-1280FA1CEA73}" name="Województwo pomorskie"/>
    <tableColumn id="2" xr3:uid="{C70C51B1-41E3-4245-8F31-0250672D0140}" name="szacowane potrzeby inwestycyjne - podział regionalny [mln zł]"/>
  </tableColumns>
  <tableStyleInfo name="TableStyleMedium2" showFirstColumn="0" showLastColumn="0" showRowStripes="1" showColumnStripes="0"/>
</table>
</file>

<file path=xl/tables/table7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5" xr:uid="{B3228576-BFF4-43EF-A713-DF435F688D04}" name="Tabela75" displayName="Tabela75" ref="B2:C7" totalsRowShown="0">
  <autoFilter ref="B2:C7" xr:uid="{B24E9CA3-7665-439A-A761-5F0B759B5DFB}"/>
  <tableColumns count="2">
    <tableColumn id="1" xr3:uid="{03D7FF02-C542-433C-B882-FCA8DB7848BB}" name="Szacunkowe potrzeby inwestycyjne"/>
    <tableColumn id="2" xr3:uid="{2EFD620E-A419-44CC-B949-2F1A208865A8}" name="mln zł" dataDxfId="68" dataCellStyle="Dziesiętny"/>
  </tableColumns>
  <tableStyleInfo name="TableStyleMedium2" showFirstColumn="0" showLastColumn="0" showRowStripes="1" showColumnStripes="0"/>
</table>
</file>

<file path=xl/tables/table7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6" xr:uid="{1A71900E-83EE-4987-91F3-B97D7A20417F}" name="Tabela76" displayName="Tabela76" ref="B9:D14" totalsRowShown="0">
  <autoFilter ref="B9:D14" xr:uid="{4520A3FB-2A86-485E-A899-854B5A4EC73B}"/>
  <tableColumns count="3">
    <tableColumn id="1" xr3:uid="{EB02DC65-5D33-4CE9-88B3-B9568B71BEE6}" name="Szacunkowe koszty przystosowania dróg wodnych w Polsce  do parametrów szlaków żeglugowych o znaczeniu międzynarodowym" dataDxfId="67"/>
    <tableColumn id="2" xr3:uid="{C5FE8F2B-D252-442A-88EE-C964B7B7F8EA}" name="Szacunek min [mln zł]" dataDxfId="66" dataCellStyle="Dziesiętny"/>
    <tableColumn id="3" xr3:uid="{AE7A7AED-6E35-43CB-88A7-12E1F4E3BFE8}" name="Szacunek max [mln zł]"/>
  </tableColumns>
  <tableStyleInfo name="TableStyleMedium2" showFirstColumn="0" showLastColumn="0" showRowStripes="1" showColumnStripes="0"/>
</table>
</file>

<file path=xl/tables/table7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7" xr:uid="{B8E37308-BE1B-4092-B37A-02A6C3B4188C}" name="Tabela77" displayName="Tabela77" ref="B2:H21" totalsRowShown="0" headerRowDxfId="65" headerRowBorderDxfId="64" tableBorderDxfId="63" headerRowCellStyle="Kolumna">
  <autoFilter ref="B2:H21" xr:uid="{849CAA79-02E0-45A6-874A-F14C58B168B4}"/>
  <tableColumns count="7">
    <tableColumn id="1" xr3:uid="{5F388A32-6BAF-4DA2-9DA9-D4CE10634DA4}" name="Nazwa"/>
    <tableColumn id="2" xr3:uid="{7C90B8FE-81F8-4FFF-BEED-C240514BDD22}" name="autobusy" dataDxfId="62"/>
    <tableColumn id="3" xr3:uid="{E1712EDF-06B9-4903-A7FA-89B13B96FEA4}" name="tramwaje" dataDxfId="61"/>
    <tableColumn id="4" xr3:uid="{FF939381-F7C3-45B1-824C-38BBFF9EEC82}" name="trolejbusy" dataDxfId="60"/>
    <tableColumn id="5" xr3:uid="{DB3DDE90-93BC-419D-BA82-494343FFAD6A}" name="miejsca w wozach" dataDxfId="59"/>
    <tableColumn id="6" xr3:uid="{8F9E490F-5FB5-4ED4-AD5F-9D0F98A4A871}" name="miejsca w autobusach" dataDxfId="58"/>
    <tableColumn id="7" xr3:uid="{80549D38-70AF-445A-8D57-02CC3B18B353}" name="miejsca w tramwajach" dataDxfId="57"/>
  </tableColumns>
  <tableStyleInfo name="TableStyleMedium2" showFirstColumn="0" showLastColumn="0" showRowStripes="1" showColumnStripes="0"/>
</table>
</file>

<file path=xl/tables/table7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8" xr:uid="{0208F8EB-8D10-4564-9516-85D99A1124DE}" name="Tabela78" displayName="Tabela78" ref="B23:E43" totalsRowShown="0" headerRowDxfId="56" headerRowBorderDxfId="55" tableBorderDxfId="54" headerRowCellStyle="Kolumna">
  <autoFilter ref="B23:E43" xr:uid="{ABEE9A1C-0FC0-4522-A54E-DED2E7F169F0}"/>
  <tableColumns count="4">
    <tableColumn id="1" xr3:uid="{DEE2E88F-849F-4961-AABD-978319FD3E1B}" name="Nazwa"/>
    <tableColumn id="2" xr3:uid="{F72FEFDE-92FD-42FB-9459-4F041A59324C}" name="przebieg wozów ogółem w tys. wozo-km" dataDxfId="53"/>
    <tableColumn id="3" xr3:uid="{6BDC1DE0-9C83-4EED-9CA4-8B1A0D6507D7}" name="Kolumna1" dataDxfId="52"/>
    <tableColumn id="4" xr3:uid="{B1EDDDA5-5BAC-48F9-B518-567C8BE7A68A}" name="Kolumna2" dataDxfId="51"/>
  </tableColumns>
  <tableStyleInfo name="TableStyleMedium2" showFirstColumn="0" showLastColumn="0" showRowStripes="1" showColumnStripes="0"/>
</table>
</file>

<file path=xl/tables/table7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9" xr:uid="{BB1B01E9-7D11-45FA-9859-715CD4F008FE}" name="Tabela79" displayName="Tabela79" ref="B45:E63" totalsRowShown="0">
  <autoFilter ref="B45:E63" xr:uid="{2FDA2C76-ED8E-4B2B-A24C-83975BC73A84}"/>
  <tableColumns count="4">
    <tableColumn id="1" xr3:uid="{B2C263B7-C659-40B4-83F7-39850C0978BB}" name="Udział autobusów niskoemisyjnych"/>
    <tableColumn id="2" xr3:uid="{DB4AE365-82DE-471F-8705-63084EBF5F6C}" name="4,20%" dataDxfId="50" dataCellStyle="Dziesiętny">
      <calculatedColumnFormula>$C$45*C5</calculatedColumnFormula>
    </tableColumn>
    <tableColumn id="3" xr3:uid="{45BDF2B3-13A2-4316-8F90-02C732DD249C}" name="16%" dataDxfId="49">
      <calculatedColumnFormula>$D$45*C5</calculatedColumnFormula>
    </tableColumn>
    <tableColumn id="4" xr3:uid="{F56914CD-3314-4508-9785-69C01B4A0F7D}" name="różnica" dataDxfId="48">
      <calculatedColumnFormula>D46-C46</calculatedColumnFormula>
    </tableColumn>
  </tableColumns>
  <tableStyleInfo name="TableStyleMedium2" showFirstColumn="0" showLastColumn="0" showRowStripes="1" showColumnStripes="0"/>
</table>
</file>

<file path=xl/tables/table7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0" xr:uid="{1700D576-9600-4E15-AE93-211B35AC2ADE}" name="Tabela80" displayName="Tabela80" ref="B65:G79" totalsRowShown="0" headerRowDxfId="47" dataDxfId="46">
  <autoFilter ref="B65:G79" xr:uid="{4D6539D6-5FA5-44F8-AE1D-F1AA1A133EBD}"/>
  <tableColumns count="6">
    <tableColumn id="1" xr3:uid="{F9D01935-2276-4F10-9F8F-E0C917916238}" name="ITS - Nr projektu POIiŚ 2007-2013" dataDxfId="45"/>
    <tableColumn id="2" xr3:uid="{4C5691D7-D901-4633-B11F-480728AA4627}" name="nazwa" dataDxfId="44"/>
    <tableColumn id="3" xr3:uid="{8C60FFB8-3A2D-4878-85B9-F973CFDCDB37}" name="województwo" dataDxfId="43"/>
    <tableColumn id="4" xr3:uid="{E1EDEA15-A824-4045-B9C1-0B63A525A7FA}" name="powiat" dataDxfId="42"/>
    <tableColumn id="5" xr3:uid="{E25B3F7B-A561-4081-A775-02DCC34EA224}" name="gmina" dataDxfId="41"/>
    <tableColumn id="6" xr3:uid="{429C31C5-8636-49E7-B0A9-3065098854EE}" name="wartość" dataDxfId="40"/>
  </tableColumns>
  <tableStyleInfo name="TableStyleMedium2" showFirstColumn="0" showLastColumn="0" showRowStripes="1" showColumnStripes="0"/>
</table>
</file>

<file path=xl/tables/table7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1" xr:uid="{D312D8B4-CA39-4A75-BE8B-8F35B9A410C3}" name="Tabela81" displayName="Tabela81" ref="B81:E99" totalsRowShown="0" dataDxfId="39">
  <autoFilter ref="B81:E99" xr:uid="{57507C28-BD22-440F-B4D8-9B2362BB0120}"/>
  <tableColumns count="4">
    <tableColumn id="1" xr3:uid="{B0B65AAE-2DDD-4C00-9964-282F11E85314}" name="beneficjent POIiŚ 2014-2020" dataDxfId="38"/>
    <tableColumn id="2" xr3:uid="{D9759315-3FA1-47E9-8C95-A630E186613F}" name="województwo" dataDxfId="37"/>
    <tableColumn id="3" xr3:uid="{2A2513E9-A587-4067-B3D1-B34CCD435ECE}" name="nazwa projektu" dataDxfId="36"/>
    <tableColumn id="4" xr3:uid="{1D15687D-D4E8-4006-A94D-9FC483FD2E9B}" name="wartość" dataDxfId="35"/>
  </tableColumns>
  <tableStyleInfo name="TableStyleMedium2" showFirstColumn="0" showLastColumn="0" showRowStripes="1" showColumnStripes="0"/>
</table>
</file>

<file path=xl/tables/table7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2" xr:uid="{E2A44FEA-9D06-48DE-B4D9-D52ED9388DE5}" name="Tabela82" displayName="Tabela82" ref="B102:E116" totalsRowShown="0" dataDxfId="34">
  <autoFilter ref="B102:E116" xr:uid="{2A00B83B-3C5E-4F54-8978-03C3B9EE2E1C}"/>
  <tableColumns count="4">
    <tableColumn id="1" xr3:uid="{94A198F0-5236-4B8A-BB0E-5F8EF6685F31}" name="beneficjent" dataDxfId="33"/>
    <tableColumn id="2" xr3:uid="{33F739D2-AA78-4230-AD6B-AABF4903E04E}" name="województwo" dataDxfId="32"/>
    <tableColumn id="3" xr3:uid="{7E469A92-59C9-41C2-8254-41FFCED5659C}" name="nazwa projektu" dataDxfId="31"/>
    <tableColumn id="4" xr3:uid="{3B3DC76A-6774-4388-9B53-2492467FC7AD}" name="wartość" dataDxfId="30"/>
  </tableColumns>
  <tableStyleInfo name="TableStyleMedium2"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83E6C39B-59E8-4A9F-8848-8D1BEA5EC752}" name="Tabela8" displayName="Tabela8" ref="B148:D156" insertRowShift="1" totalsRowShown="0">
  <autoFilter ref="B148:D156" xr:uid="{4F10F957-D0FF-4631-8536-C13B1DA150BB}"/>
  <tableColumns count="3">
    <tableColumn id="1" xr3:uid="{F1C4C0E1-8CDB-48B9-9983-D6C77EDD83F5}" name="Wskaźnik"/>
    <tableColumn id="2" xr3:uid="{658646C3-12FA-470E-B10D-70385E43AB05}" name="jednostka"/>
    <tableColumn id="3" xr3:uid="{46DD77D2-DBEE-4768-B35B-531A687A5004}" name="wartość"/>
  </tableColumns>
  <tableStyleInfo name="TableStyleMedium2" showFirstColumn="0" showLastColumn="0" showRowStripes="1" showColumnStripes="0"/>
</table>
</file>

<file path=xl/tables/table8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3" xr:uid="{314FF512-4FF6-454A-AD40-FEB344A2D0F5}" name="Tabela83" displayName="Tabela83" ref="B119:E124" totalsRowShown="0">
  <autoFilter ref="B119:E124" xr:uid="{0C89F44A-5FA4-4B9F-8ADE-B4AC79E2B162}"/>
  <tableColumns count="4">
    <tableColumn id="1" xr3:uid="{48CC26EA-4757-4F7C-8A7E-67D7A0B4E8F0}" name="źródło" dataDxfId="29" dataCellStyle="Hiperłącze"/>
    <tableColumn id="2" xr3:uid="{26F835D6-A9D5-430E-BBBD-6D5235645717}" name="liczba autobusów"/>
    <tableColumn id="3" xr3:uid="{E97AC84B-A3DB-40AF-BB55-22E607A89AFC}" name="koszt całkowity w mln "/>
    <tableColumn id="4" xr3:uid="{CAF3303E-5194-47D6-827D-93BF64EA3FAE}" name="jednostkowy" dataDxfId="28" dataCellStyle="Dziesiętny">
      <calculatedColumnFormula>D120/C120</calculatedColumnFormula>
    </tableColumn>
  </tableColumns>
  <tableStyleInfo name="TableStyleMedium2" showFirstColumn="0" showLastColumn="0" showRowStripes="1" showColumnStripes="0"/>
</table>
</file>

<file path=xl/tables/table8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4" xr:uid="{AF798A88-1D01-48DD-9214-0DB0DA724E99}" name="Tabela84" displayName="Tabela84" ref="B127:C132" totalsRowShown="0">
  <autoFilter ref="B127:C132" xr:uid="{10470793-D3C6-476A-A290-6DE2A974469B}"/>
  <tableColumns count="2">
    <tableColumn id="1" xr3:uid="{445B4E0B-D0EB-4404-B5C9-5924936CFE2B}" name="Szacunki IRMiR - miasta z funkcjonującym systemem transportu publicznego" dataDxfId="27"/>
    <tableColumn id="2" xr3:uid="{2ECA8BF7-9B4F-4B41-80EB-54D49DA24E9E}" name="szt."/>
  </tableColumns>
  <tableStyleInfo name="TableStyleMedium2" showFirstColumn="0" showLastColumn="0" showRowStripes="1" showColumnStripes="0"/>
</table>
</file>

<file path=xl/tables/table8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5" xr:uid="{87E6E408-DBF4-4BB6-BC88-3C5F11C5486B}" name="Tabela85" displayName="Tabela85" ref="B135:C141" totalsRowShown="0">
  <autoFilter ref="B135:C141" xr:uid="{948C2871-64C4-48DD-B974-533DA95B09D6}"/>
  <tableColumns count="2">
    <tableColumn id="1" xr3:uid="{988E28EC-171A-41BD-A2D8-CF616F9A1281}" name="systemy ITS" dataDxfId="26"/>
    <tableColumn id="2" xr3:uid="{C696939D-3DEC-4672-8BEF-D2BBFC439DD8}" name="wartość"/>
  </tableColumns>
  <tableStyleInfo name="TableStyleMedium2" showFirstColumn="0" showLastColumn="0" showRowStripes="1" showColumnStripes="0"/>
</table>
</file>

<file path=xl/tables/table8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6" xr:uid="{1CE09C6D-51EB-41BA-BFA9-16A279A64CEC}" name="Tabela86" displayName="Tabela86" ref="B144:C155" totalsRowShown="0">
  <autoFilter ref="B144:C155" xr:uid="{BDEF16A5-5465-4EF8-A4E3-124E68C9AD7A}"/>
  <tableColumns count="2">
    <tableColumn id="1" xr3:uid="{C0B58E59-0F5B-454F-922E-F9351A4F10D0}" name="Kolumna1" dataDxfId="25"/>
    <tableColumn id="2" xr3:uid="{E66B2904-1F58-4EF5-809C-4509D452F019}" name="koszt jednostkowy" dataDxfId="24"/>
  </tableColumns>
  <tableStyleInfo name="TableStyleMedium2" showFirstColumn="0" showLastColumn="0" showRowStripes="1" showColumnStripes="0"/>
</table>
</file>

<file path=xl/tables/table8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7" xr:uid="{CDA9D8A9-ABF8-4309-AE22-495F2988C598}" name="Tabela87" displayName="Tabela87" ref="B159:D176" totalsRowShown="0">
  <autoFilter ref="B159:D176" xr:uid="{D75A5D7D-B70D-408F-B13F-5F9E55E8F265}"/>
  <tableColumns count="3">
    <tableColumn id="1" xr3:uid="{77D855AA-A0A9-4861-9EFC-764B7DF20F97}" name="Kolumna1"/>
    <tableColumn id="2" xr3:uid="{5E0BC6B9-E0CB-47BC-A539-255A6B32A943}" name="nowe inwestycje"/>
    <tableColumn id="3" xr3:uid="{F0DE8A0C-3506-4393-AA2A-32BD77920ABD}" name="dodatkowe inwestycje" dataDxfId="23"/>
  </tableColumns>
  <tableStyleInfo name="TableStyleMedium2" showFirstColumn="0" showLastColumn="0" showRowStripes="1" showColumnStripes="0"/>
</table>
</file>

<file path=xl/tables/table8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8" xr:uid="{D388B62C-577D-4665-8249-920138A04B46}" name="Tabela88" displayName="Tabela88" ref="B297:C303" totalsRowShown="0">
  <autoFilter ref="B297:C303" xr:uid="{6FB81774-42DB-49C1-B947-FAF4C3CEE435}"/>
  <tableColumns count="2">
    <tableColumn id="1" xr3:uid="{0CC67E57-13F6-4816-A83F-12AD900E3FAC}" name="Łączne potrzeby inwestycyjne "/>
    <tableColumn id="2" xr3:uid="{DD49B8B2-6F0E-4E33-BF89-8712E84F10C2}" name="mln zł" dataDxfId="22" dataCellStyle="Dziesiętny"/>
  </tableColumns>
  <tableStyleInfo name="TableStyleMedium2" showFirstColumn="0" showLastColumn="0" showRowStripes="1" showColumnStripes="0"/>
</table>
</file>

<file path=xl/tables/table8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9" xr:uid="{98CB929E-F30D-4254-B4D5-E4CD29D33FBB}" name="Tabela89" displayName="Tabela89" ref="B179:I180" totalsRowShown="0">
  <autoFilter ref="B179:I180" xr:uid="{5C2CD12B-F73B-4716-925E-BAE4EA079037}"/>
  <tableColumns count="8">
    <tableColumn id="1" xr3:uid="{DA51DA28-D054-48AE-9A11-743A27BE805C}" name="Nowe linie tramwajowe - Tramwaj dla polskich miast - Łukasz Zaborowski - 2018" dataDxfId="21"/>
    <tableColumn id="2" xr3:uid="{CD0AE512-122E-40F6-8196-6D16D7AFF2C2}" name="km linii"/>
    <tableColumn id="3" xr3:uid="{E43DBC11-B0B4-4B9A-AA0A-3F28DC64B20D}" name="koszt jednostkowy budowy 1 km linii w mln zł"/>
    <tableColumn id="4" xr3:uid="{46931B1E-D48A-4DEA-B655-70A70EA2494F}" name="razem linie w mln zł">
      <calculatedColumnFormula>D180*C180</calculatedColumnFormula>
    </tableColumn>
    <tableColumn id="5" xr3:uid="{FB34AB69-361B-46B4-9981-EEBF05B6E12A}" name="liczba taboru">
      <calculatedColumnFormula>14*5</calculatedColumnFormula>
    </tableColumn>
    <tableColumn id="6" xr3:uid="{47F93976-A2FE-4E35-85DD-8523BCBCB104}" name="koszt jednostkowy taboru w mln zł"/>
    <tableColumn id="7" xr3:uid="{67141393-2231-409B-B141-16D652768F85}" name="razem tabor w mln zł">
      <calculatedColumnFormula>G180*F180</calculatedColumnFormula>
    </tableColumn>
    <tableColumn id="8" xr3:uid="{86DBA644-DEC3-4C92-920C-EC34ACE3D826}" name="Łącznie">
      <calculatedColumnFormula>H180+E180</calculatedColumnFormula>
    </tableColumn>
  </tableColumns>
  <tableStyleInfo name="TableStyleMedium2" showFirstColumn="0" showLastColumn="0" showRowStripes="1" showColumnStripes="0"/>
</table>
</file>

<file path=xl/tables/table8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0" xr:uid="{48FD4C04-A1B0-4E03-99EB-21D9EF8B33A4}" name="Tabela90" displayName="Tabela90" ref="B196:F201" totalsRowShown="0" dataDxfId="20" dataCellStyle="Dziesiętny">
  <autoFilter ref="B196:F201" xr:uid="{31D496FC-0383-4ED5-B990-7ACE8BB5B428}"/>
  <tableColumns count="5">
    <tableColumn id="1" xr3:uid="{FFBE34C8-2993-4935-B219-E7B95955F8F9}" name="projekt" dataDxfId="19"/>
    <tableColumn id="2" xr3:uid="{AFADD427-F794-491F-981E-63052F824737}" name="wartość" dataDxfId="18" dataCellStyle="Dziesiętny"/>
    <tableColumn id="3" xr3:uid="{BD8E1E73-D841-4498-9B8F-132586DA7F5C}" name="km" dataDxfId="17" dataCellStyle="Dziesiętny"/>
    <tableColumn id="4" xr3:uid="{52306C7A-EB40-4EA0-8220-A10F30503C2E}" name="PLN/km" dataDxfId="16" dataCellStyle="Dziesiętny"/>
    <tableColumn id="5" xr3:uid="{5EA2B852-D25D-4D45-B013-0820CCD98D71}" name="EUR/km" dataDxfId="15" dataCellStyle="Dziesiętny"/>
  </tableColumns>
  <tableStyleInfo name="TableStyleMedium2" showFirstColumn="0" showLastColumn="0" showRowStripes="1" showColumnStripes="0"/>
</table>
</file>

<file path=xl/tables/table8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1" xr:uid="{480FB21A-AFDA-4716-8BF0-F78F3B670796}" name="Tabela91" displayName="Tabela91" ref="B203:D207" totalsRowShown="0">
  <autoFilter ref="B203:D207" xr:uid="{939CD35F-8EBF-4060-BE03-1FFD631D4F2E}"/>
  <tableColumns count="3">
    <tableColumn id="1" xr3:uid="{C93FFC41-340E-4888-A321-DE7F473D630C}" name="III linia"/>
    <tableColumn id="2" xr3:uid="{828E8C76-3EDC-4AA5-A7EA-9896815DAA52}" name="długość [km]"/>
    <tableColumn id="3" xr3:uid="{DE40A172-3860-4E26-A236-882128977B5E}" name="koszt szacunkowy" dataDxfId="14" dataCellStyle="Dziesiętny"/>
  </tableColumns>
  <tableStyleInfo name="TableStyleMedium2" showFirstColumn="0" showLastColumn="0" showRowStripes="1" showColumnStripes="0"/>
</table>
</file>

<file path=xl/tables/table8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2" xr:uid="{A97711D1-718B-493C-BE3D-419CBB3BF000}" name="Tabela92" displayName="Tabela92" ref="B209:D210" totalsRowShown="0">
  <autoFilter ref="B209:D210" xr:uid="{8F3886DF-1B13-4F85-BFF8-D6B03502A50C}"/>
  <tableColumns count="3">
    <tableColumn id="1" xr3:uid="{D3FF0001-1FE0-4569-921D-C7C05068F5EB}" name="Kraków"/>
    <tableColumn id="2" xr3:uid="{DFF41903-93E4-425E-A9B5-BBC953223982}" name="długość [km]"/>
    <tableColumn id="3" xr3:uid="{EEF9C523-9A5A-414C-86B4-A2DC3F564BDE}" name="koszt szacunkowy" dataDxfId="13" dataCellStyle="Dziesiętny"/>
  </tableColumns>
  <tableStyleInfo name="TableStyleMedium2"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89EF8DC1-F7EF-4AA1-AF54-CAFEC390A9A0}" name="Tabela9" displayName="Tabela9" ref="B158:D161" totalsRowShown="0" headerRowBorderDxfId="231" tableBorderDxfId="230">
  <autoFilter ref="B158:D161" xr:uid="{55EFE830-656B-47D2-AFC2-92A6BB04157D}"/>
  <tableColumns count="3">
    <tableColumn id="1" xr3:uid="{8417B49A-F7E3-4F44-986E-41BD1F79C997}" name="Wskaźnik"/>
    <tableColumn id="2" xr3:uid="{D08EF143-46B7-4849-A7DE-72CECF1935B1}" name="jednostka"/>
    <tableColumn id="3" xr3:uid="{7D0334D4-AD57-4DDF-9E25-023A05564178}" name="wartość" dataDxfId="229">
      <calculatedColumnFormula>Q12</calculatedColumnFormula>
    </tableColumn>
  </tableColumns>
  <tableStyleInfo name="TableStyleMedium2" showFirstColumn="0" showLastColumn="0" showRowStripes="1" showColumnStripes="0"/>
</table>
</file>

<file path=xl/tables/table9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4" xr:uid="{F49836F0-3DCE-4CBB-8663-E9718C814E8B}" name="Tabela94" displayName="Tabela94" ref="B212:C262" totalsRowShown="0">
  <autoFilter ref="B212:C262" xr:uid="{6EFC457D-0D3C-4467-BE50-0ACB3A78A4FD}"/>
  <tableColumns count="2">
    <tableColumn id="1" xr3:uid="{46340270-EB8A-4CB8-BBF5-6645C7BBC389}" name="Projekty tramwajowe POIiŚ 2014-2020" dataDxfId="12"/>
    <tableColumn id="2" xr3:uid="{B21B6E69-7C4F-43D9-8366-254B13FFD7DD}" name="wartość" dataDxfId="11"/>
  </tableColumns>
  <tableStyleInfo name="TableStyleMedium2" showFirstColumn="0" showLastColumn="0" showRowStripes="1" showColumnStripes="0"/>
</table>
</file>

<file path=xl/tables/table9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043ADD16-0DCD-40F8-B573-37E4439E14A9}" name="Tabela29" displayName="Tabela29" ref="B264:C265" totalsRowShown="0" dataDxfId="10">
  <autoFilter ref="B264:C265" xr:uid="{DD356023-AB09-4A9C-BD33-A94B5A05E5FA}"/>
  <tableColumns count="2">
    <tableColumn id="1" xr3:uid="{DA6115F9-22F7-4194-9D65-160F96EAB343}" name="Kolumna1" dataDxfId="9"/>
    <tableColumn id="2" xr3:uid="{60ACB9F9-88CA-427D-A525-EEEF0A330485}" name="Długość linii tramwajowych" dataDxfId="8"/>
  </tableColumns>
  <tableStyleInfo name="TableStyleMedium2" showFirstColumn="0" showLastColumn="0" showRowStripes="1" showColumnStripes="0"/>
</table>
</file>

<file path=xl/tables/table9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 xr:uid="{D25CCD26-3D97-4967-BCCC-D6018496B775}" name="Tabela31" displayName="Tabela31" ref="B267:E272" totalsRowShown="0">
  <autoFilter ref="B267:E272" xr:uid="{EE7B7166-C3CE-4D36-9AC7-9871C44F8177}"/>
  <tableColumns count="4">
    <tableColumn id="1" xr3:uid="{3F240B8C-7D79-43C0-B1E7-F767BDDADB1B}" name="wskaźnik SL2014" dataDxfId="7"/>
    <tableColumn id="2" xr3:uid="{545AF8BE-32A9-43EA-9E82-689F9603614A}" name="liczba projektów"/>
    <tableColumn id="3" xr3:uid="{9458AECE-D68C-4004-BCEF-DC9BE12E6A5C}" name="wartosc projektów" dataDxfId="6" dataCellStyle="Dziesiętny"/>
    <tableColumn id="4" xr3:uid="{56C36740-68EF-495E-B98B-7A7D0A3FFA7F}" name="wartość wskaźnika" dataDxfId="5" dataCellStyle="Dziesiętny"/>
  </tableColumns>
  <tableStyleInfo name="TableStyleMedium2" showFirstColumn="0" showLastColumn="0" showRowStripes="1" showColumnStripes="0"/>
</table>
</file>

<file path=xl/tables/table9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3" xr:uid="{4FD121AC-C880-47E8-A07E-41E5A8E7EC0C}" name="Tabela93" displayName="Tabela93" ref="B274:C278" totalsRowShown="0">
  <autoFilter ref="B274:C278" xr:uid="{87BFF0C3-58DA-4FA0-A79A-4FB76B1E662C}"/>
  <tableColumns count="2">
    <tableColumn id="1" xr3:uid="{CF1CE06E-F590-4918-BD97-2D45A0DB3F2F}" name="Potrzeby inwestycyjne linii tramwajwych"/>
    <tableColumn id="2" xr3:uid="{D857F231-F144-40BE-A4F9-571B559D8D37}" name="km" dataDxfId="4"/>
  </tableColumns>
  <tableStyleInfo name="TableStyleMedium2" showFirstColumn="0" showLastColumn="0" showRowStripes="1" showColumnStripes="0"/>
</table>
</file>

<file path=xl/tables/table9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5" xr:uid="{C289FEB1-D00D-4B79-A251-7A75D4A46C0B}" name="Tabela95" displayName="Tabela95" ref="B280:C285" totalsRowShown="0">
  <autoFilter ref="B280:C285" xr:uid="{4873EB4D-C12B-4729-9CD2-47641D96FE59}"/>
  <tableColumns count="2">
    <tableColumn id="1" xr3:uid="{BBFB798F-EB02-4EDB-BF13-FC998DF6068C}" name="potrzeby inwestycyjne taboru"/>
    <tableColumn id="2" xr3:uid="{EC106EAB-8D6D-4DAD-AF9B-0D44200E44A1}" name="szt"/>
  </tableColumns>
  <tableStyleInfo name="TableStyleMedium2" showFirstColumn="0" showLastColumn="0" showRowStripes="1" showColumnStripes="0"/>
</table>
</file>

<file path=xl/tables/table9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6" xr:uid="{A6854294-395B-43BE-B329-9104E12C0022}" name="Tabela96" displayName="Tabela96" ref="B287:C289" totalsRowShown="0">
  <autoFilter ref="B287:C289" xr:uid="{6ADE7FF8-DCED-4F63-A68A-A7682A2D5CBD}"/>
  <tableColumns count="2">
    <tableColumn id="1" xr3:uid="{F023A786-9870-4088-A521-B8597B9A5870}" name="https://www.newsweek.pl/biznes/tramwaje-w-polsce-liczba-pesa-solaris-newsweekpl/6ewjg20"/>
    <tableColumn id="2" xr3:uid="{F4C173DB-507E-4A6B-8704-C3903762229B}" name="tramwaje niskopodłogowe na 2014 r">
      <calculatedColumnFormula>C287/D4</calculatedColumnFormula>
    </tableColumn>
  </tableColumns>
  <tableStyleInfo name="TableStyleMedium2" showFirstColumn="0" showLastColumn="0" showRowStripes="1" showColumnStripes="0"/>
</table>
</file>

<file path=xl/tables/table9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7" xr:uid="{6519EBCB-6357-4435-8B57-3ECE12649176}" name="Tabela97" displayName="Tabela97" ref="B291:F295" totalsRowShown="0">
  <autoFilter ref="B291:F295" xr:uid="{5F063696-AE20-42CD-8E29-2744587039D8}"/>
  <tableColumns count="5">
    <tableColumn id="1" xr3:uid="{FAA4C1CB-9D87-4A60-82FA-456450466A02}" name="Potrzeby finansowe - tramwaje"/>
    <tableColumn id="2" xr3:uid="{C958FD9F-8996-482F-A550-397DFD552D1B}" name="ilość"/>
    <tableColumn id="3" xr3:uid="{F0503266-D62C-4110-A933-8C6BC7C9422C}" name="koszt jednostkowy w mln zł"/>
    <tableColumn id="4" xr3:uid="{9DD92DDA-9E0D-4826-ACCC-FA0797BB3E58}" name="razem" dataDxfId="3" dataCellStyle="Dziesiętny"/>
    <tableColumn id="5" xr3:uid="{71559F3C-2EAB-4F69-945F-3297FA76D38E}" name="robocze" dataDxfId="2">
      <calculatedColumnFormula>Tabela97[[#This Row],[razem]]+E291</calculatedColumnFormula>
    </tableColumn>
  </tableColumns>
  <tableStyleInfo name="TableStyleMedium2" showFirstColumn="0" showLastColumn="0" showRowStripes="1" showColumnStripes="0"/>
</table>
</file>

<file path=xl/tables/table9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F255C78-9941-4630-A84C-9107FC1242DC}" name="Tabela11" displayName="Tabela11" ref="B2:F16" totalsRowShown="0">
  <autoFilter ref="B2:F16" xr:uid="{A4C173B1-73A9-42C5-8263-CDDD44AEE91C}"/>
  <tableColumns count="5">
    <tableColumn id="1" xr3:uid="{0674472C-C78A-4E53-815F-00835668F3C1}" name="Sektor"/>
    <tableColumn id="2" xr3:uid="{F3899D4E-889A-43C3-A259-9D4FBF3DA213}" name="jednosta"/>
    <tableColumn id="4" xr3:uid="{703DD7F0-10A8-4DC3-9FC4-C3CA9E4D253D}" name="Zidentyfikowane potrzeby finansowe" dataCellStyle="Dziesiętny">
      <calculatedColumnFormula>'Autostrady!'!D159</calculatedColumnFormula>
    </tableColumn>
    <tableColumn id="5" xr3:uid="{51DF16CC-73A6-4AD4-B07B-743805032AFD}" name="Zidentyfikowany limit środków" dataDxfId="1" dataCellStyle="Dziesiętny">
      <calculatedColumnFormula>'Autostrady!'!D160</calculatedColumnFormula>
    </tableColumn>
    <tableColumn id="3" xr3:uid="{0AE298F0-B75B-4F6B-BE95-74F074BDEB57}" name="Niezabezpieczone potrzeby finansowe" dataCellStyle="Dziesiętny">
      <calculatedColumnFormula>'Autostrady!'!D161</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table" Target="../tables/table7.xml"/><Relationship Id="rId3" Type="http://schemas.openxmlformats.org/officeDocument/2006/relationships/table" Target="../tables/table2.xml"/><Relationship Id="rId7" Type="http://schemas.openxmlformats.org/officeDocument/2006/relationships/table" Target="../tables/table6.xml"/><Relationship Id="rId2" Type="http://schemas.openxmlformats.org/officeDocument/2006/relationships/table" Target="../tables/table1.xml"/><Relationship Id="rId1" Type="http://schemas.openxmlformats.org/officeDocument/2006/relationships/printerSettings" Target="../printerSettings/printerSettings1.bin"/><Relationship Id="rId6" Type="http://schemas.openxmlformats.org/officeDocument/2006/relationships/table" Target="../tables/table5.xml"/><Relationship Id="rId11" Type="http://schemas.openxmlformats.org/officeDocument/2006/relationships/table" Target="../tables/table10.xml"/><Relationship Id="rId5" Type="http://schemas.openxmlformats.org/officeDocument/2006/relationships/table" Target="../tables/table4.xml"/><Relationship Id="rId10" Type="http://schemas.openxmlformats.org/officeDocument/2006/relationships/table" Target="../tables/table9.xml"/><Relationship Id="rId4" Type="http://schemas.openxmlformats.org/officeDocument/2006/relationships/table" Target="../tables/table3.xml"/><Relationship Id="rId9" Type="http://schemas.openxmlformats.org/officeDocument/2006/relationships/table" Target="../tables/table8.xml"/></Relationships>
</file>

<file path=xl/worksheets/_rels/sheet10.xml.rels><?xml version="1.0" encoding="UTF-8" standalone="yes"?>
<Relationships xmlns="http://schemas.openxmlformats.org/package/2006/relationships"><Relationship Id="rId1" Type="http://schemas.openxmlformats.org/officeDocument/2006/relationships/table" Target="../tables/table69.xml"/></Relationships>
</file>

<file path=xl/worksheets/_rels/sheet11.xml.rels><?xml version="1.0" encoding="UTF-8" standalone="yes"?>
<Relationships xmlns="http://schemas.openxmlformats.org/package/2006/relationships"><Relationship Id="rId3" Type="http://schemas.openxmlformats.org/officeDocument/2006/relationships/hyperlink" Target="https://www.portalmorski.pl/porty-logistyka/43911-grobarczyk-w-tej-kadencji-rozpoczniemy-inwestycje-morskie-o-wartosci-44-mld-zl" TargetMode="External"/><Relationship Id="rId2" Type="http://schemas.openxmlformats.org/officeDocument/2006/relationships/hyperlink" Target="https://www.portalmorski.pl/porty-logistyka/43911-grobarczyk-w-tej-kadencji-rozpoczniemy-inwestycje-morskie-o-wartosci-44-mld-zl" TargetMode="External"/><Relationship Id="rId1" Type="http://schemas.openxmlformats.org/officeDocument/2006/relationships/hyperlink" Target="https://www.portalmorski.pl/porty-logistyka/43911-grobarczyk-w-tej-kadencji-rozpoczniemy-inwestycje-morskie-o-wartosci-44-mld-zl" TargetMode="External"/><Relationship Id="rId5" Type="http://schemas.openxmlformats.org/officeDocument/2006/relationships/table" Target="../tables/table71.xml"/><Relationship Id="rId4" Type="http://schemas.openxmlformats.org/officeDocument/2006/relationships/table" Target="../tables/table70.xml"/></Relationships>
</file>

<file path=xl/worksheets/_rels/sheet12.xml.rels><?xml version="1.0" encoding="UTF-8" standalone="yes"?>
<Relationships xmlns="http://schemas.openxmlformats.org/package/2006/relationships"><Relationship Id="rId2" Type="http://schemas.openxmlformats.org/officeDocument/2006/relationships/table" Target="../tables/table73.xml"/><Relationship Id="rId1" Type="http://schemas.openxmlformats.org/officeDocument/2006/relationships/table" Target="../tables/table72.xml"/></Relationships>
</file>

<file path=xl/worksheets/_rels/sheet13.xml.rels><?xml version="1.0" encoding="UTF-8" standalone="yes"?>
<Relationships xmlns="http://schemas.openxmlformats.org/package/2006/relationships"><Relationship Id="rId8" Type="http://schemas.openxmlformats.org/officeDocument/2006/relationships/table" Target="../tables/table76.xml"/><Relationship Id="rId13" Type="http://schemas.openxmlformats.org/officeDocument/2006/relationships/table" Target="../tables/table81.xml"/><Relationship Id="rId18" Type="http://schemas.openxmlformats.org/officeDocument/2006/relationships/table" Target="../tables/table86.xml"/><Relationship Id="rId26" Type="http://schemas.openxmlformats.org/officeDocument/2006/relationships/table" Target="../tables/table94.xml"/><Relationship Id="rId3" Type="http://schemas.openxmlformats.org/officeDocument/2006/relationships/hyperlink" Target="https://www.transport-publiczny.pl/mobile/lublin-z-elektrobusami-solarisa-przetargi-rozstrzygniete-64179.html" TargetMode="External"/><Relationship Id="rId21" Type="http://schemas.openxmlformats.org/officeDocument/2006/relationships/table" Target="../tables/table89.xml"/><Relationship Id="rId7" Type="http://schemas.openxmlformats.org/officeDocument/2006/relationships/table" Target="../tables/table75.xml"/><Relationship Id="rId12" Type="http://schemas.openxmlformats.org/officeDocument/2006/relationships/table" Target="../tables/table80.xml"/><Relationship Id="rId17" Type="http://schemas.openxmlformats.org/officeDocument/2006/relationships/table" Target="../tables/table85.xml"/><Relationship Id="rId25" Type="http://schemas.openxmlformats.org/officeDocument/2006/relationships/table" Target="../tables/table93.xml"/><Relationship Id="rId2" Type="http://schemas.openxmlformats.org/officeDocument/2006/relationships/hyperlink" Target="https://www.transport-publiczny.pl/mobile/elektrobusy-dla-krakowa-solaris-gora-64176.html" TargetMode="External"/><Relationship Id="rId16" Type="http://schemas.openxmlformats.org/officeDocument/2006/relationships/table" Target="../tables/table84.xml"/><Relationship Id="rId20" Type="http://schemas.openxmlformats.org/officeDocument/2006/relationships/table" Target="../tables/table88.xml"/><Relationship Id="rId1" Type="http://schemas.openxmlformats.org/officeDocument/2006/relationships/hyperlink" Target="https://businessinsider.com.pl/firmy/solaris-dostarczy-elektryczne-autobusy-dla-warszawy-za-ok-400-mln-zl/r9ph7cx" TargetMode="External"/><Relationship Id="rId6" Type="http://schemas.openxmlformats.org/officeDocument/2006/relationships/table" Target="../tables/table74.xml"/><Relationship Id="rId11" Type="http://schemas.openxmlformats.org/officeDocument/2006/relationships/table" Target="../tables/table79.xml"/><Relationship Id="rId24" Type="http://schemas.openxmlformats.org/officeDocument/2006/relationships/table" Target="../tables/table92.xml"/><Relationship Id="rId5" Type="http://schemas.openxmlformats.org/officeDocument/2006/relationships/hyperlink" Target="https://www.newsweek.pl/biznes/tramwaje-w-polsce-liczba-pesa-solaris-newsweekpl/6ewjg20" TargetMode="External"/><Relationship Id="rId15" Type="http://schemas.openxmlformats.org/officeDocument/2006/relationships/table" Target="../tables/table83.xml"/><Relationship Id="rId23" Type="http://schemas.openxmlformats.org/officeDocument/2006/relationships/table" Target="../tables/table91.xml"/><Relationship Id="rId28" Type="http://schemas.openxmlformats.org/officeDocument/2006/relationships/table" Target="../tables/table96.xml"/><Relationship Id="rId10" Type="http://schemas.openxmlformats.org/officeDocument/2006/relationships/table" Target="../tables/table78.xml"/><Relationship Id="rId19" Type="http://schemas.openxmlformats.org/officeDocument/2006/relationships/table" Target="../tables/table87.xml"/><Relationship Id="rId4" Type="http://schemas.openxmlformats.org/officeDocument/2006/relationships/hyperlink" Target="https://www.transport-publiczny.pl/mobile/lublin-z-elektrobusami-solarisa-przetargi-rozstrzygniete-64179.html" TargetMode="External"/><Relationship Id="rId9" Type="http://schemas.openxmlformats.org/officeDocument/2006/relationships/table" Target="../tables/table77.xml"/><Relationship Id="rId14" Type="http://schemas.openxmlformats.org/officeDocument/2006/relationships/table" Target="../tables/table82.xml"/><Relationship Id="rId22" Type="http://schemas.openxmlformats.org/officeDocument/2006/relationships/table" Target="../tables/table90.xml"/><Relationship Id="rId27" Type="http://schemas.openxmlformats.org/officeDocument/2006/relationships/table" Target="../tables/table95.xml"/></Relationships>
</file>

<file path=xl/worksheets/_rels/sheet14.xml.rels><?xml version="1.0" encoding="UTF-8" standalone="yes"?>
<Relationships xmlns="http://schemas.openxmlformats.org/package/2006/relationships"><Relationship Id="rId1" Type="http://schemas.openxmlformats.org/officeDocument/2006/relationships/table" Target="../tables/table97.xml"/></Relationships>
</file>

<file path=xl/worksheets/_rels/sheet2.xml.rels><?xml version="1.0" encoding="UTF-8" standalone="yes"?>
<Relationships xmlns="http://schemas.openxmlformats.org/package/2006/relationships"><Relationship Id="rId8" Type="http://schemas.openxmlformats.org/officeDocument/2006/relationships/table" Target="../tables/table18.xml"/><Relationship Id="rId3" Type="http://schemas.openxmlformats.org/officeDocument/2006/relationships/table" Target="../tables/table13.xml"/><Relationship Id="rId7" Type="http://schemas.openxmlformats.org/officeDocument/2006/relationships/table" Target="../tables/table17.xml"/><Relationship Id="rId12" Type="http://schemas.openxmlformats.org/officeDocument/2006/relationships/table" Target="../tables/table22.xml"/><Relationship Id="rId2" Type="http://schemas.openxmlformats.org/officeDocument/2006/relationships/table" Target="../tables/table12.xml"/><Relationship Id="rId1" Type="http://schemas.openxmlformats.org/officeDocument/2006/relationships/table" Target="../tables/table11.xml"/><Relationship Id="rId6" Type="http://schemas.openxmlformats.org/officeDocument/2006/relationships/table" Target="../tables/table16.xml"/><Relationship Id="rId11" Type="http://schemas.openxmlformats.org/officeDocument/2006/relationships/table" Target="../tables/table21.xml"/><Relationship Id="rId5" Type="http://schemas.openxmlformats.org/officeDocument/2006/relationships/table" Target="../tables/table15.xml"/><Relationship Id="rId10" Type="http://schemas.openxmlformats.org/officeDocument/2006/relationships/table" Target="../tables/table20.xml"/><Relationship Id="rId4" Type="http://schemas.openxmlformats.org/officeDocument/2006/relationships/table" Target="../tables/table14.xml"/><Relationship Id="rId9" Type="http://schemas.openxmlformats.org/officeDocument/2006/relationships/table" Target="../tables/table19.xml"/></Relationships>
</file>

<file path=xl/worksheets/_rels/sheet3.xml.rels><?xml version="1.0" encoding="UTF-8" standalone="yes"?>
<Relationships xmlns="http://schemas.openxmlformats.org/package/2006/relationships"><Relationship Id="rId3" Type="http://schemas.openxmlformats.org/officeDocument/2006/relationships/table" Target="../tables/table25.xml"/><Relationship Id="rId2" Type="http://schemas.openxmlformats.org/officeDocument/2006/relationships/table" Target="../tables/table24.xml"/><Relationship Id="rId1" Type="http://schemas.openxmlformats.org/officeDocument/2006/relationships/table" Target="../tables/table23.xml"/><Relationship Id="rId6" Type="http://schemas.openxmlformats.org/officeDocument/2006/relationships/table" Target="../tables/table28.xml"/><Relationship Id="rId5" Type="http://schemas.openxmlformats.org/officeDocument/2006/relationships/table" Target="../tables/table27.xml"/><Relationship Id="rId4" Type="http://schemas.openxmlformats.org/officeDocument/2006/relationships/table" Target="../tables/table26.xml"/></Relationships>
</file>

<file path=xl/worksheets/_rels/sheet4.xml.rels><?xml version="1.0" encoding="UTF-8" standalone="yes"?>
<Relationships xmlns="http://schemas.openxmlformats.org/package/2006/relationships"><Relationship Id="rId8" Type="http://schemas.openxmlformats.org/officeDocument/2006/relationships/table" Target="../tables/table36.xml"/><Relationship Id="rId13" Type="http://schemas.openxmlformats.org/officeDocument/2006/relationships/table" Target="../tables/table41.xml"/><Relationship Id="rId3" Type="http://schemas.openxmlformats.org/officeDocument/2006/relationships/table" Target="../tables/table31.xml"/><Relationship Id="rId7" Type="http://schemas.openxmlformats.org/officeDocument/2006/relationships/table" Target="../tables/table35.xml"/><Relationship Id="rId12" Type="http://schemas.openxmlformats.org/officeDocument/2006/relationships/table" Target="../tables/table40.xml"/><Relationship Id="rId2" Type="http://schemas.openxmlformats.org/officeDocument/2006/relationships/table" Target="../tables/table30.xml"/><Relationship Id="rId1" Type="http://schemas.openxmlformats.org/officeDocument/2006/relationships/table" Target="../tables/table29.xml"/><Relationship Id="rId6" Type="http://schemas.openxmlformats.org/officeDocument/2006/relationships/table" Target="../tables/table34.xml"/><Relationship Id="rId11" Type="http://schemas.openxmlformats.org/officeDocument/2006/relationships/table" Target="../tables/table39.xml"/><Relationship Id="rId5" Type="http://schemas.openxmlformats.org/officeDocument/2006/relationships/table" Target="../tables/table33.xml"/><Relationship Id="rId10" Type="http://schemas.openxmlformats.org/officeDocument/2006/relationships/table" Target="../tables/table38.xml"/><Relationship Id="rId4" Type="http://schemas.openxmlformats.org/officeDocument/2006/relationships/table" Target="../tables/table32.xml"/><Relationship Id="rId9" Type="http://schemas.openxmlformats.org/officeDocument/2006/relationships/table" Target="../tables/table37.xml"/></Relationships>
</file>

<file path=xl/worksheets/_rels/sheet5.xml.rels><?xml version="1.0" encoding="UTF-8" standalone="yes"?>
<Relationships xmlns="http://schemas.openxmlformats.org/package/2006/relationships"><Relationship Id="rId3" Type="http://schemas.openxmlformats.org/officeDocument/2006/relationships/table" Target="../tables/table44.xml"/><Relationship Id="rId2" Type="http://schemas.openxmlformats.org/officeDocument/2006/relationships/table" Target="../tables/table43.xml"/><Relationship Id="rId1" Type="http://schemas.openxmlformats.org/officeDocument/2006/relationships/table" Target="../tables/table42.xml"/><Relationship Id="rId4" Type="http://schemas.openxmlformats.org/officeDocument/2006/relationships/table" Target="../tables/table45.xml"/></Relationships>
</file>

<file path=xl/worksheets/_rels/sheet6.xml.rels><?xml version="1.0" encoding="UTF-8" standalone="yes"?>
<Relationships xmlns="http://schemas.openxmlformats.org/package/2006/relationships"><Relationship Id="rId8" Type="http://schemas.openxmlformats.org/officeDocument/2006/relationships/table" Target="../tables/table53.xml"/><Relationship Id="rId3" Type="http://schemas.openxmlformats.org/officeDocument/2006/relationships/table" Target="../tables/table48.xml"/><Relationship Id="rId7" Type="http://schemas.openxmlformats.org/officeDocument/2006/relationships/table" Target="../tables/table52.xml"/><Relationship Id="rId2" Type="http://schemas.openxmlformats.org/officeDocument/2006/relationships/table" Target="../tables/table47.xml"/><Relationship Id="rId1" Type="http://schemas.openxmlformats.org/officeDocument/2006/relationships/table" Target="../tables/table46.xml"/><Relationship Id="rId6" Type="http://schemas.openxmlformats.org/officeDocument/2006/relationships/table" Target="../tables/table51.xml"/><Relationship Id="rId5" Type="http://schemas.openxmlformats.org/officeDocument/2006/relationships/table" Target="../tables/table50.xml"/><Relationship Id="rId10" Type="http://schemas.openxmlformats.org/officeDocument/2006/relationships/table" Target="../tables/table55.xml"/><Relationship Id="rId4" Type="http://schemas.openxmlformats.org/officeDocument/2006/relationships/table" Target="../tables/table49.xml"/><Relationship Id="rId9" Type="http://schemas.openxmlformats.org/officeDocument/2006/relationships/table" Target="../tables/table54.xml"/></Relationships>
</file>

<file path=xl/worksheets/_rels/sheet7.xml.rels><?xml version="1.0" encoding="UTF-8" standalone="yes"?>
<Relationships xmlns="http://schemas.openxmlformats.org/package/2006/relationships"><Relationship Id="rId3" Type="http://schemas.openxmlformats.org/officeDocument/2006/relationships/table" Target="../tables/table57.xml"/><Relationship Id="rId2" Type="http://schemas.openxmlformats.org/officeDocument/2006/relationships/table" Target="../tables/table56.xml"/><Relationship Id="rId1" Type="http://schemas.openxmlformats.org/officeDocument/2006/relationships/printerSettings" Target="../printerSettings/printerSettings2.bin"/><Relationship Id="rId6" Type="http://schemas.openxmlformats.org/officeDocument/2006/relationships/table" Target="../tables/table60.xml"/><Relationship Id="rId5" Type="http://schemas.openxmlformats.org/officeDocument/2006/relationships/table" Target="../tables/table59.xml"/><Relationship Id="rId4" Type="http://schemas.openxmlformats.org/officeDocument/2006/relationships/table" Target="../tables/table58.xml"/></Relationships>
</file>

<file path=xl/worksheets/_rels/sheet8.xml.rels><?xml version="1.0" encoding="UTF-8" standalone="yes"?>
<Relationships xmlns="http://schemas.openxmlformats.org/package/2006/relationships"><Relationship Id="rId8" Type="http://schemas.openxmlformats.org/officeDocument/2006/relationships/hyperlink" Target="https://biznesalert.pl/nowe-wagony-pkp-intercity/" TargetMode="External"/><Relationship Id="rId13" Type="http://schemas.openxmlformats.org/officeDocument/2006/relationships/hyperlink" Target="https://www.rynek-kolejowy.pl/mobile/pierwsze-nowe-mazowieckie-flirty-przewioza-pasazerow-jesienia-2019-86883.html" TargetMode="External"/><Relationship Id="rId18" Type="http://schemas.openxmlformats.org/officeDocument/2006/relationships/hyperlink" Target="https://www.money.pl/gielda/wiadomosci/artykul/newag-dostarczyl-pierwsze-pociagi-na-sycylie,105,0,1983849.html" TargetMode="External"/><Relationship Id="rId3" Type="http://schemas.openxmlformats.org/officeDocument/2006/relationships/hyperlink" Target="https://biznesalert.pl/pkp-cargo-kupilo-od-siemensa-lokomotywy-za-300-mln-zl/?doing_wp_cron=1580392733.0839970111846923828125" TargetMode="External"/><Relationship Id="rId21" Type="http://schemas.openxmlformats.org/officeDocument/2006/relationships/table" Target="../tables/table62.xml"/><Relationship Id="rId7" Type="http://schemas.openxmlformats.org/officeDocument/2006/relationships/hyperlink" Target="https://www.forbes.pl/wiadomosci/pkp-intercity-zamawia-nowe-wagony-za-38-mln-euro/xzcs678" TargetMode="External"/><Relationship Id="rId12" Type="http://schemas.openxmlformats.org/officeDocument/2006/relationships/hyperlink" Target="https://www.rynek-kolejowy.pl/mobile/stadler-z-umowa-na-12-flirtow-dla-kolei-mazowieckich-dla-trasy-sochaczewwarszawacelestynow-91249.html" TargetMode="External"/><Relationship Id="rId17" Type="http://schemas.openxmlformats.org/officeDocument/2006/relationships/hyperlink" Target="https://www.rynek-kolejowy.pl/wiadomosci/newag-sklada-oferta-na-spalinowe-i-elektryczne-zespoly-trakcyjne-dla-kd-88368.html" TargetMode="External"/><Relationship Id="rId25" Type="http://schemas.openxmlformats.org/officeDocument/2006/relationships/table" Target="../tables/table66.xml"/><Relationship Id="rId2" Type="http://schemas.openxmlformats.org/officeDocument/2006/relationships/hyperlink" Target="https://www.tvp.info/37418797/nowe-lokomotywy-dla-pkp-intercity-dostarczy-je-polska-firma" TargetMode="External"/><Relationship Id="rId16" Type="http://schemas.openxmlformats.org/officeDocument/2006/relationships/hyperlink" Target="https://www.forbes.pl/wiadomosci/pesa-sprzeda-do-niemiec-pociagi-za-120-mln-euro/errk7lb" TargetMode="External"/><Relationship Id="rId20" Type="http://schemas.openxmlformats.org/officeDocument/2006/relationships/table" Target="../tables/table61.xml"/><Relationship Id="rId1" Type="http://schemas.openxmlformats.org/officeDocument/2006/relationships/hyperlink" Target="https://forsal.pl/artykuly/1318637,ponad-45-mln-zl-za-3-lokomotywy-dragon-2-newag-ma-umowe-z-pkp-cargo.html" TargetMode="External"/><Relationship Id="rId6" Type="http://schemas.openxmlformats.org/officeDocument/2006/relationships/hyperlink" Target="https://www.rynek-kolejowy.pl/wiadomosci/kupuja-u-siebie-pfr-wyda-296-mln-zl-na-lokomotywy-pesa-gama-92354.html" TargetMode="External"/><Relationship Id="rId11" Type="http://schemas.openxmlformats.org/officeDocument/2006/relationships/hyperlink" Target="https://www.mazowieckie.com.pl/pl/zakup-10-szt-czteroczlonowych-elektrycznych-zespolow-trakcyjnych-typu-er-75-flirt" TargetMode="External"/><Relationship Id="rId24" Type="http://schemas.openxmlformats.org/officeDocument/2006/relationships/table" Target="../tables/table65.xml"/><Relationship Id="rId5" Type="http://schemas.openxmlformats.org/officeDocument/2006/relationships/hyperlink" Target="https://www.wnp.pl/logistyka/pkp-intercity-kupuje-nowe-lokomotywy-spalinowe,189250.html" TargetMode="External"/><Relationship Id="rId15" Type="http://schemas.openxmlformats.org/officeDocument/2006/relationships/hyperlink" Target="https://logistyka.rp.pl/transport/4766-pesa-mknie-po-bialoruskich-torach" TargetMode="External"/><Relationship Id="rId23" Type="http://schemas.openxmlformats.org/officeDocument/2006/relationships/table" Target="../tables/table64.xml"/><Relationship Id="rId10" Type="http://schemas.openxmlformats.org/officeDocument/2006/relationships/hyperlink" Target="https://wroclaw.wyborcza.pl/wroclaw/56,35771,24763927,zakup-elektrycznych-zespolow-trakcyjnych,,5.html" TargetMode="External"/><Relationship Id="rId19" Type="http://schemas.openxmlformats.org/officeDocument/2006/relationships/printerSettings" Target="../printerSettings/printerSettings3.bin"/><Relationship Id="rId4" Type="http://schemas.openxmlformats.org/officeDocument/2006/relationships/hyperlink" Target="https://www.pb.pl/pkp-cargo-podpisaly-umowe-z-newagiem-na-31-lokomotyw-za-ponad-500-mln-zl-970548" TargetMode="External"/><Relationship Id="rId9" Type="http://schemas.openxmlformats.org/officeDocument/2006/relationships/hyperlink" Target="https://biznesalert.pl/nowe-wagony-pkp-intercity/" TargetMode="External"/><Relationship Id="rId14" Type="http://schemas.openxmlformats.org/officeDocument/2006/relationships/hyperlink" Target="http://inforail.pl/koleje-dolnoslaskie-uniewaznily-przetarg-na-ezt-y-i-szt-y_more_109053.html" TargetMode="External"/><Relationship Id="rId22" Type="http://schemas.openxmlformats.org/officeDocument/2006/relationships/table" Target="../tables/table63.xml"/></Relationships>
</file>

<file path=xl/worksheets/_rels/sheet9.xml.rels><?xml version="1.0" encoding="UTF-8" standalone="yes"?>
<Relationships xmlns="http://schemas.openxmlformats.org/package/2006/relationships"><Relationship Id="rId2" Type="http://schemas.openxmlformats.org/officeDocument/2006/relationships/table" Target="../tables/table68.xml"/><Relationship Id="rId1" Type="http://schemas.openxmlformats.org/officeDocument/2006/relationships/table" Target="../tables/table6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DA65C7-1F93-48EA-BC44-73BE752D76AF}">
  <dimension ref="B1:R162"/>
  <sheetViews>
    <sheetView topLeftCell="A145" zoomScale="70" zoomScaleNormal="70" workbookViewId="0">
      <selection activeCell="D159" sqref="D159"/>
    </sheetView>
  </sheetViews>
  <sheetFormatPr defaultRowHeight="14.5"/>
  <cols>
    <col min="2" max="2" width="48.81640625" bestFit="1" customWidth="1"/>
    <col min="3" max="3" width="13.54296875" bestFit="1" customWidth="1"/>
    <col min="4" max="4" width="26.36328125" customWidth="1"/>
    <col min="6" max="6" width="25.26953125" customWidth="1"/>
    <col min="7" max="7" width="12.453125" bestFit="1" customWidth="1"/>
    <col min="8" max="16" width="13.54296875" bestFit="1" customWidth="1"/>
    <col min="17" max="17" width="16.453125" customWidth="1"/>
    <col min="18" max="18" width="8.7265625" customWidth="1"/>
  </cols>
  <sheetData>
    <row r="1" spans="2:18">
      <c r="B1" s="1" t="s">
        <v>0</v>
      </c>
      <c r="C1" t="s">
        <v>1</v>
      </c>
      <c r="D1" t="s">
        <v>2</v>
      </c>
      <c r="F1" t="s">
        <v>785</v>
      </c>
      <c r="G1" s="9" t="s">
        <v>42</v>
      </c>
      <c r="H1" s="9" t="s">
        <v>43</v>
      </c>
      <c r="I1" s="9" t="s">
        <v>44</v>
      </c>
      <c r="J1" s="9" t="s">
        <v>45</v>
      </c>
      <c r="K1" s="9" t="s">
        <v>46</v>
      </c>
      <c r="L1" s="9" t="s">
        <v>47</v>
      </c>
      <c r="M1" s="9" t="s">
        <v>48</v>
      </c>
      <c r="N1" s="9" t="s">
        <v>49</v>
      </c>
      <c r="O1" s="9" t="s">
        <v>50</v>
      </c>
      <c r="P1" s="9" t="s">
        <v>51</v>
      </c>
      <c r="Q1" s="9" t="s">
        <v>52</v>
      </c>
    </row>
    <row r="2" spans="2:18">
      <c r="B2" t="s">
        <v>3</v>
      </c>
      <c r="C2" t="s">
        <v>4</v>
      </c>
      <c r="D2">
        <v>1763</v>
      </c>
      <c r="F2" s="140" t="s">
        <v>791</v>
      </c>
      <c r="G2" s="12">
        <v>2828372.56</v>
      </c>
      <c r="H2" s="12">
        <v>2852217.3</v>
      </c>
      <c r="I2" s="12">
        <v>2948507</v>
      </c>
      <c r="J2" s="12">
        <v>4314691</v>
      </c>
      <c r="K2" s="12">
        <v>5300000</v>
      </c>
      <c r="L2" s="12">
        <v>5475000</v>
      </c>
      <c r="M2" s="12">
        <v>5565000</v>
      </c>
      <c r="N2" s="12">
        <v>5672000</v>
      </c>
      <c r="O2" s="12">
        <v>5862500</v>
      </c>
      <c r="P2" s="12">
        <v>5949138.1399999997</v>
      </c>
      <c r="Q2" s="12">
        <f>SUM(Tabela4[[#This Row],[2014]:[2023]])</f>
        <v>46767426</v>
      </c>
    </row>
    <row r="3" spans="2:18">
      <c r="B3" t="s">
        <v>5</v>
      </c>
      <c r="C3" t="s">
        <v>4</v>
      </c>
      <c r="D3">
        <v>734</v>
      </c>
      <c r="F3" s="138" t="s">
        <v>792</v>
      </c>
      <c r="G3" s="12">
        <v>608087.29</v>
      </c>
      <c r="H3" s="12">
        <v>5692972.2199999997</v>
      </c>
      <c r="I3" s="12">
        <v>11312022.199999999</v>
      </c>
      <c r="J3" s="12">
        <v>13941844.09</v>
      </c>
      <c r="K3" s="12">
        <v>16423475.07</v>
      </c>
      <c r="L3" s="12">
        <v>18067065.98</v>
      </c>
      <c r="M3" s="12">
        <v>17026309.120000001</v>
      </c>
      <c r="N3" s="12">
        <v>17253802.899999999</v>
      </c>
      <c r="O3" s="12">
        <v>15206168.6</v>
      </c>
      <c r="P3" s="12">
        <v>26632079.48</v>
      </c>
      <c r="Q3" s="12">
        <f>SUM(Tabela4[[#This Row],[2014]:[2023]])-0.02</f>
        <v>142163826.92999998</v>
      </c>
    </row>
    <row r="4" spans="2:18">
      <c r="B4" t="s">
        <v>6</v>
      </c>
      <c r="C4" t="s">
        <v>4</v>
      </c>
      <c r="D4">
        <v>1240</v>
      </c>
      <c r="F4" s="138" t="s">
        <v>793</v>
      </c>
      <c r="G4" s="12">
        <v>5968999.54</v>
      </c>
      <c r="H4" s="12">
        <v>2942977.84</v>
      </c>
      <c r="I4" s="12">
        <v>1470883.7</v>
      </c>
      <c r="J4" s="12">
        <v>746204.4</v>
      </c>
      <c r="K4" s="12">
        <v>568998.6</v>
      </c>
      <c r="L4" s="12">
        <v>944189.9</v>
      </c>
      <c r="M4" s="12">
        <v>936580</v>
      </c>
      <c r="N4" s="12">
        <v>894566.02</v>
      </c>
      <c r="O4" s="12">
        <v>0</v>
      </c>
      <c r="P4" s="12">
        <v>0</v>
      </c>
      <c r="Q4" s="12">
        <f>SUM(Tabela4[[#This Row],[2014]:[2023]])</f>
        <v>14473399.999999998</v>
      </c>
    </row>
    <row r="5" spans="2:18">
      <c r="B5" t="s">
        <v>7</v>
      </c>
      <c r="C5" t="s">
        <v>4</v>
      </c>
      <c r="D5">
        <v>1308</v>
      </c>
      <c r="F5" s="138" t="s">
        <v>794</v>
      </c>
      <c r="G5" s="13">
        <f t="shared" ref="G5:P5" si="0">SUM(G2:G4)</f>
        <v>9405459.3900000006</v>
      </c>
      <c r="H5" s="13">
        <f t="shared" si="0"/>
        <v>11488167.359999999</v>
      </c>
      <c r="I5" s="13">
        <f t="shared" si="0"/>
        <v>15731412.899999999</v>
      </c>
      <c r="J5" s="13">
        <f t="shared" si="0"/>
        <v>19002739.489999998</v>
      </c>
      <c r="K5" s="13">
        <f t="shared" si="0"/>
        <v>22292473.670000002</v>
      </c>
      <c r="L5" s="13">
        <f t="shared" si="0"/>
        <v>24486255.879999999</v>
      </c>
      <c r="M5" s="13">
        <f t="shared" si="0"/>
        <v>23527889.120000001</v>
      </c>
      <c r="N5" s="13">
        <f t="shared" si="0"/>
        <v>23820368.919999998</v>
      </c>
      <c r="O5" s="13">
        <f t="shared" si="0"/>
        <v>21068668.600000001</v>
      </c>
      <c r="P5" s="13">
        <f t="shared" si="0"/>
        <v>32581217.620000001</v>
      </c>
      <c r="Q5" s="13">
        <f>SUM(Q2:Q4)</f>
        <v>203404652.92999998</v>
      </c>
      <c r="R5">
        <v>203404652.92999998</v>
      </c>
    </row>
    <row r="6" spans="2:18" ht="58">
      <c r="B6" t="s">
        <v>8</v>
      </c>
      <c r="C6" t="s">
        <v>4</v>
      </c>
      <c r="D6">
        <v>13009</v>
      </c>
      <c r="F6" t="s">
        <v>798</v>
      </c>
      <c r="P6" s="1" t="s">
        <v>118</v>
      </c>
      <c r="Q6" s="27">
        <f>Q3*70%</f>
        <v>99514678.850999981</v>
      </c>
    </row>
    <row r="7" spans="2:18" ht="29">
      <c r="B7" t="s">
        <v>9</v>
      </c>
      <c r="C7" t="s">
        <v>4</v>
      </c>
      <c r="D7">
        <v>154</v>
      </c>
      <c r="F7" t="s">
        <v>798</v>
      </c>
      <c r="P7" s="1" t="s">
        <v>119</v>
      </c>
      <c r="Q7" s="27">
        <f>Q3-Q6</f>
        <v>42649148.078999996</v>
      </c>
    </row>
    <row r="8" spans="2:18">
      <c r="B8" t="s">
        <v>10</v>
      </c>
      <c r="C8" t="s">
        <v>4</v>
      </c>
      <c r="D8">
        <v>916</v>
      </c>
    </row>
    <row r="9" spans="2:18">
      <c r="B9" t="s">
        <v>11</v>
      </c>
      <c r="C9" t="s">
        <v>4</v>
      </c>
      <c r="D9">
        <v>2500</v>
      </c>
      <c r="F9" t="s">
        <v>786</v>
      </c>
      <c r="G9" s="9" t="s">
        <v>42</v>
      </c>
      <c r="H9" s="9" t="s">
        <v>43</v>
      </c>
      <c r="I9" s="9" t="s">
        <v>44</v>
      </c>
      <c r="J9" s="9" t="s">
        <v>45</v>
      </c>
      <c r="K9" s="9" t="s">
        <v>46</v>
      </c>
      <c r="L9" s="9" t="s">
        <v>47</v>
      </c>
      <c r="M9" s="9" t="s">
        <v>48</v>
      </c>
      <c r="N9" s="9" t="s">
        <v>49</v>
      </c>
      <c r="O9" s="9" t="s">
        <v>50</v>
      </c>
      <c r="P9" s="9" t="s">
        <v>51</v>
      </c>
      <c r="Q9" s="9" t="s">
        <v>52</v>
      </c>
    </row>
    <row r="10" spans="2:18">
      <c r="B10" t="s">
        <v>12</v>
      </c>
      <c r="C10" t="s">
        <v>4</v>
      </c>
      <c r="D10">
        <v>15523</v>
      </c>
      <c r="F10" s="138" t="s">
        <v>794</v>
      </c>
      <c r="G10" s="13">
        <v>9405459.3900000006</v>
      </c>
      <c r="H10" s="13">
        <v>11488167.359999999</v>
      </c>
      <c r="I10" s="13">
        <v>15731412.899999999</v>
      </c>
      <c r="J10" s="13">
        <v>19002739.489999998</v>
      </c>
      <c r="K10" s="13">
        <v>22292473.670000002</v>
      </c>
      <c r="L10" s="13">
        <v>24486255.879999999</v>
      </c>
      <c r="M10" s="13">
        <v>23527889.120000001</v>
      </c>
      <c r="N10" s="13">
        <v>23820368.919999998</v>
      </c>
      <c r="O10" s="13">
        <v>21068668.600000001</v>
      </c>
      <c r="P10" s="13">
        <f>32581217.62-0.02</f>
        <v>32581217.600000001</v>
      </c>
      <c r="Q10" s="12">
        <f>SUM(Tabela411[[#This Row],[2014]:[2023]])</f>
        <v>203404652.92999998</v>
      </c>
    </row>
    <row r="11" spans="2:18" ht="29">
      <c r="B11" t="s">
        <v>13</v>
      </c>
      <c r="C11" t="s">
        <v>4</v>
      </c>
      <c r="D11">
        <v>11618</v>
      </c>
      <c r="F11" s="139" t="s">
        <v>799</v>
      </c>
      <c r="G11" s="12">
        <f>G10*32%</f>
        <v>3009747.0048000002</v>
      </c>
      <c r="H11" s="12">
        <f t="shared" ref="H11:P11" si="1">H10*32%</f>
        <v>3676213.5551999998</v>
      </c>
      <c r="I11" s="12">
        <f t="shared" si="1"/>
        <v>5034052.1279999996</v>
      </c>
      <c r="J11" s="12">
        <f t="shared" si="1"/>
        <v>6080876.6367999995</v>
      </c>
      <c r="K11" s="12">
        <f t="shared" si="1"/>
        <v>7133591.5744000003</v>
      </c>
      <c r="L11" s="12">
        <f t="shared" si="1"/>
        <v>7835601.8816</v>
      </c>
      <c r="M11" s="12">
        <f t="shared" si="1"/>
        <v>7528924.5184000004</v>
      </c>
      <c r="N11" s="12">
        <f t="shared" si="1"/>
        <v>7622518.0543999998</v>
      </c>
      <c r="O11" s="12">
        <f t="shared" si="1"/>
        <v>6741973.9520000005</v>
      </c>
      <c r="P11" s="12">
        <f t="shared" si="1"/>
        <v>10425989.632000001</v>
      </c>
      <c r="Q11" s="12">
        <f>SUM(Tabela411[[#This Row],[2014]:[2023]])</f>
        <v>65089488.937599994</v>
      </c>
    </row>
    <row r="12" spans="2:18" ht="29">
      <c r="B12" t="s">
        <v>14</v>
      </c>
      <c r="C12" t="s">
        <v>4</v>
      </c>
      <c r="D12">
        <v>1310</v>
      </c>
      <c r="F12" s="45" t="s">
        <v>800</v>
      </c>
      <c r="G12" s="12">
        <f>G10-G11</f>
        <v>6395712.3852000004</v>
      </c>
      <c r="H12" s="12">
        <f t="shared" ref="H12:P12" si="2">H10-H11</f>
        <v>7811953.8048</v>
      </c>
      <c r="I12" s="12">
        <f t="shared" si="2"/>
        <v>10697360.772</v>
      </c>
      <c r="J12" s="12">
        <f t="shared" si="2"/>
        <v>12921862.8532</v>
      </c>
      <c r="K12" s="12">
        <f t="shared" si="2"/>
        <v>15158882.095600002</v>
      </c>
      <c r="L12" s="12">
        <f t="shared" si="2"/>
        <v>16650653.998399999</v>
      </c>
      <c r="M12" s="12">
        <f t="shared" si="2"/>
        <v>15998964.601600001</v>
      </c>
      <c r="N12" s="12">
        <f t="shared" si="2"/>
        <v>16197850.865599997</v>
      </c>
      <c r="O12" s="12">
        <f t="shared" si="2"/>
        <v>14326694.648000002</v>
      </c>
      <c r="P12" s="12">
        <f t="shared" si="2"/>
        <v>22155227.968000002</v>
      </c>
      <c r="Q12" s="12">
        <f>SUM(Tabela411[[#This Row],[2014]:[2023]])-0.02</f>
        <v>138315163.97239998</v>
      </c>
    </row>
    <row r="13" spans="2:18" ht="58">
      <c r="B13" t="s">
        <v>15</v>
      </c>
      <c r="C13" t="s">
        <v>4</v>
      </c>
      <c r="D13">
        <v>6943</v>
      </c>
      <c r="F13" s="138" t="s">
        <v>801</v>
      </c>
      <c r="G13" s="12"/>
      <c r="H13" s="12"/>
      <c r="I13" s="12"/>
      <c r="J13" s="12"/>
      <c r="K13" s="12"/>
      <c r="L13" s="12"/>
      <c r="M13" s="12"/>
      <c r="N13" s="12"/>
      <c r="O13" s="12"/>
      <c r="P13" s="1" t="s">
        <v>118</v>
      </c>
      <c r="Q13" s="12">
        <f>Q12*70%</f>
        <v>96820614.780679986</v>
      </c>
    </row>
    <row r="14" spans="2:18" ht="29">
      <c r="B14" t="s">
        <v>16</v>
      </c>
      <c r="C14" t="s">
        <v>4</v>
      </c>
      <c r="D14">
        <v>257</v>
      </c>
      <c r="F14" s="138" t="s">
        <v>801</v>
      </c>
      <c r="P14" s="1" t="s">
        <v>119</v>
      </c>
      <c r="Q14" s="12">
        <f>Q12-Q13</f>
        <v>41494549.191719994</v>
      </c>
    </row>
    <row r="15" spans="2:18">
      <c r="B15" t="s">
        <v>17</v>
      </c>
      <c r="C15" t="s">
        <v>4</v>
      </c>
      <c r="D15">
        <v>0</v>
      </c>
      <c r="P15" s="1"/>
      <c r="Q15" s="27"/>
    </row>
    <row r="16" spans="2:18">
      <c r="B16" t="s">
        <v>18</v>
      </c>
      <c r="C16" t="s">
        <v>4</v>
      </c>
      <c r="D16">
        <v>324</v>
      </c>
      <c r="P16" s="1"/>
      <c r="Q16" s="27"/>
    </row>
    <row r="17" spans="2:4">
      <c r="B17" t="s">
        <v>19</v>
      </c>
      <c r="C17" t="s">
        <v>4</v>
      </c>
      <c r="D17">
        <v>165</v>
      </c>
    </row>
    <row r="18" spans="2:4">
      <c r="B18" t="s">
        <v>20</v>
      </c>
      <c r="C18" t="s">
        <v>4</v>
      </c>
      <c r="D18">
        <v>1936.6</v>
      </c>
    </row>
    <row r="19" spans="2:4">
      <c r="B19" t="s">
        <v>21</v>
      </c>
      <c r="C19" t="s">
        <v>4</v>
      </c>
      <c r="D19">
        <v>0</v>
      </c>
    </row>
    <row r="20" spans="2:4">
      <c r="B20" t="s">
        <v>22</v>
      </c>
      <c r="C20" t="s">
        <v>4</v>
      </c>
      <c r="D20">
        <v>2758</v>
      </c>
    </row>
    <row r="21" spans="2:4">
      <c r="B21" t="s">
        <v>23</v>
      </c>
      <c r="C21" t="s">
        <v>4</v>
      </c>
      <c r="D21">
        <v>1743</v>
      </c>
    </row>
    <row r="22" spans="2:4">
      <c r="B22" t="s">
        <v>24</v>
      </c>
      <c r="C22" t="s">
        <v>4</v>
      </c>
      <c r="D22">
        <v>1640</v>
      </c>
    </row>
    <row r="23" spans="2:4">
      <c r="B23" t="s">
        <v>25</v>
      </c>
      <c r="C23" t="s">
        <v>4</v>
      </c>
      <c r="D23">
        <v>3065</v>
      </c>
    </row>
    <row r="24" spans="2:4">
      <c r="B24" t="s">
        <v>26</v>
      </c>
      <c r="C24" t="s">
        <v>4</v>
      </c>
      <c r="D24">
        <v>763</v>
      </c>
    </row>
    <row r="25" spans="2:4">
      <c r="B25" t="s">
        <v>27</v>
      </c>
      <c r="C25" t="s">
        <v>4</v>
      </c>
      <c r="D25">
        <v>783</v>
      </c>
    </row>
    <row r="26" spans="2:4">
      <c r="B26" t="s">
        <v>28</v>
      </c>
      <c r="C26" t="s">
        <v>4</v>
      </c>
      <c r="D26">
        <v>482.3</v>
      </c>
    </row>
    <row r="27" spans="2:4">
      <c r="B27" t="s">
        <v>29</v>
      </c>
      <c r="C27" t="s">
        <v>4</v>
      </c>
      <c r="D27">
        <v>893</v>
      </c>
    </row>
    <row r="28" spans="2:4">
      <c r="B28" t="s">
        <v>30</v>
      </c>
      <c r="C28" t="s">
        <v>4</v>
      </c>
      <c r="D28">
        <v>2132</v>
      </c>
    </row>
    <row r="29" spans="2:4">
      <c r="B29" t="s">
        <v>31</v>
      </c>
      <c r="C29" t="s">
        <v>4</v>
      </c>
      <c r="D29">
        <v>3803.1</v>
      </c>
    </row>
    <row r="30" spans="2:4">
      <c r="B30" t="s">
        <v>32</v>
      </c>
      <c r="C30" t="s">
        <v>4</v>
      </c>
      <c r="D30">
        <f>AVERAGE(D2:D29)</f>
        <v>2777.2500000000005</v>
      </c>
    </row>
    <row r="32" spans="2:4">
      <c r="B32" s="1" t="s">
        <v>33</v>
      </c>
      <c r="C32" t="s">
        <v>34</v>
      </c>
      <c r="D32" t="s">
        <v>2</v>
      </c>
    </row>
    <row r="33" spans="2:4">
      <c r="B33" t="s">
        <v>3</v>
      </c>
      <c r="C33" t="s">
        <v>34</v>
      </c>
      <c r="D33" s="2">
        <v>11351727</v>
      </c>
    </row>
    <row r="34" spans="2:4">
      <c r="B34" t="s">
        <v>5</v>
      </c>
      <c r="C34" t="s">
        <v>34</v>
      </c>
      <c r="D34" s="2">
        <v>7101859</v>
      </c>
    </row>
    <row r="35" spans="2:4">
      <c r="B35" t="s">
        <v>6</v>
      </c>
      <c r="C35" t="s">
        <v>34</v>
      </c>
      <c r="D35" s="2">
        <v>10578820</v>
      </c>
    </row>
    <row r="36" spans="2:4">
      <c r="B36" t="s">
        <v>7</v>
      </c>
      <c r="C36" t="s">
        <v>34</v>
      </c>
      <c r="D36" s="2">
        <v>5748769</v>
      </c>
    </row>
    <row r="37" spans="2:4">
      <c r="B37" t="s">
        <v>8</v>
      </c>
      <c r="C37" t="s">
        <v>34</v>
      </c>
      <c r="D37" s="2">
        <v>82521653</v>
      </c>
    </row>
    <row r="38" spans="2:4">
      <c r="B38" t="s">
        <v>9</v>
      </c>
      <c r="C38" t="s">
        <v>34</v>
      </c>
      <c r="D38" s="2">
        <v>1315635</v>
      </c>
    </row>
    <row r="39" spans="2:4">
      <c r="B39" t="s">
        <v>10</v>
      </c>
      <c r="C39" t="s">
        <v>34</v>
      </c>
      <c r="D39" s="2">
        <v>4784383</v>
      </c>
    </row>
    <row r="40" spans="2:4">
      <c r="B40" t="s">
        <v>11</v>
      </c>
      <c r="C40" t="s">
        <v>34</v>
      </c>
      <c r="D40" s="2">
        <v>10768193</v>
      </c>
    </row>
    <row r="41" spans="2:4">
      <c r="B41" t="s">
        <v>12</v>
      </c>
      <c r="C41" t="s">
        <v>34</v>
      </c>
      <c r="D41" s="2">
        <v>46528024</v>
      </c>
    </row>
    <row r="42" spans="2:4">
      <c r="B42" t="s">
        <v>13</v>
      </c>
      <c r="C42" t="s">
        <v>34</v>
      </c>
      <c r="D42" s="2">
        <v>66804121</v>
      </c>
    </row>
    <row r="43" spans="2:4">
      <c r="B43" t="s">
        <v>14</v>
      </c>
      <c r="C43" t="s">
        <v>34</v>
      </c>
      <c r="D43" s="2">
        <v>4154213</v>
      </c>
    </row>
    <row r="44" spans="2:4">
      <c r="B44" t="s">
        <v>15</v>
      </c>
      <c r="C44" t="s">
        <v>34</v>
      </c>
      <c r="D44" s="2">
        <v>60589445</v>
      </c>
    </row>
    <row r="45" spans="2:4">
      <c r="B45" t="s">
        <v>16</v>
      </c>
      <c r="C45" t="s">
        <v>34</v>
      </c>
      <c r="D45" s="2">
        <v>854802</v>
      </c>
    </row>
    <row r="46" spans="2:4">
      <c r="B46" t="s">
        <v>17</v>
      </c>
      <c r="C46" t="s">
        <v>34</v>
      </c>
      <c r="D46" s="2">
        <v>1950116</v>
      </c>
    </row>
    <row r="47" spans="2:4">
      <c r="B47" t="s">
        <v>18</v>
      </c>
      <c r="C47" t="s">
        <v>34</v>
      </c>
      <c r="D47" s="2">
        <v>2847904</v>
      </c>
    </row>
    <row r="48" spans="2:4">
      <c r="B48" t="s">
        <v>19</v>
      </c>
      <c r="C48" t="s">
        <v>34</v>
      </c>
      <c r="D48" s="2">
        <v>590667</v>
      </c>
    </row>
    <row r="49" spans="2:4">
      <c r="B49" t="s">
        <v>20</v>
      </c>
      <c r="C49" t="s">
        <v>34</v>
      </c>
      <c r="D49" s="2">
        <v>9797561</v>
      </c>
    </row>
    <row r="50" spans="2:4">
      <c r="B50" t="s">
        <v>21</v>
      </c>
      <c r="C50" t="s">
        <v>34</v>
      </c>
      <c r="D50" s="2">
        <v>460297</v>
      </c>
    </row>
    <row r="51" spans="2:4">
      <c r="B51" t="s">
        <v>22</v>
      </c>
      <c r="C51" t="s">
        <v>34</v>
      </c>
      <c r="D51" s="2">
        <v>17081507</v>
      </c>
    </row>
    <row r="52" spans="2:4">
      <c r="B52" t="s">
        <v>23</v>
      </c>
      <c r="C52" t="s">
        <v>34</v>
      </c>
      <c r="D52" s="2">
        <v>8772865</v>
      </c>
    </row>
    <row r="53" spans="2:4">
      <c r="B53" t="s">
        <v>24</v>
      </c>
      <c r="C53" t="s">
        <v>34</v>
      </c>
      <c r="D53" s="2">
        <v>37972964</v>
      </c>
    </row>
    <row r="54" spans="2:4">
      <c r="B54" t="s">
        <v>25</v>
      </c>
      <c r="C54" t="s">
        <v>34</v>
      </c>
      <c r="D54" s="2">
        <v>10309573</v>
      </c>
    </row>
    <row r="55" spans="2:4">
      <c r="B55" t="s">
        <v>26</v>
      </c>
      <c r="C55" t="s">
        <v>34</v>
      </c>
      <c r="D55" s="2">
        <v>19644350</v>
      </c>
    </row>
    <row r="56" spans="2:4">
      <c r="B56" t="s">
        <v>27</v>
      </c>
      <c r="C56" t="s">
        <v>34</v>
      </c>
      <c r="D56" s="2">
        <v>2065895</v>
      </c>
    </row>
    <row r="57" spans="2:4">
      <c r="B57" t="s">
        <v>28</v>
      </c>
      <c r="C57" t="s">
        <v>34</v>
      </c>
      <c r="D57" s="2">
        <v>5435343</v>
      </c>
    </row>
    <row r="58" spans="2:4">
      <c r="B58" t="s">
        <v>29</v>
      </c>
      <c r="C58" t="s">
        <v>34</v>
      </c>
      <c r="D58" s="2">
        <v>5503297</v>
      </c>
    </row>
    <row r="59" spans="2:4">
      <c r="B59" t="s">
        <v>30</v>
      </c>
      <c r="C59" t="s">
        <v>34</v>
      </c>
      <c r="D59" s="2">
        <v>9995153</v>
      </c>
    </row>
    <row r="60" spans="2:4">
      <c r="B60" t="s">
        <v>31</v>
      </c>
      <c r="C60" t="s">
        <v>34</v>
      </c>
      <c r="D60" s="2">
        <v>65844142</v>
      </c>
    </row>
    <row r="61" spans="2:4">
      <c r="B61" t="s">
        <v>35</v>
      </c>
      <c r="C61" t="s">
        <v>34</v>
      </c>
      <c r="D61" s="2">
        <f>SUM(D33:D60)</f>
        <v>511373278</v>
      </c>
    </row>
    <row r="63" spans="2:4">
      <c r="B63" s="1" t="s">
        <v>36</v>
      </c>
      <c r="C63" t="s">
        <v>37</v>
      </c>
      <c r="D63" t="s">
        <v>38</v>
      </c>
    </row>
    <row r="64" spans="2:4" ht="16.5">
      <c r="B64" t="s">
        <v>3</v>
      </c>
      <c r="C64" t="s">
        <v>39</v>
      </c>
      <c r="D64" s="2">
        <v>30528</v>
      </c>
    </row>
    <row r="65" spans="2:4" ht="16.5">
      <c r="B65" t="s">
        <v>5</v>
      </c>
      <c r="C65" t="s">
        <v>39</v>
      </c>
      <c r="D65" s="2">
        <v>110370</v>
      </c>
    </row>
    <row r="66" spans="2:4" ht="16.5">
      <c r="B66" t="s">
        <v>6</v>
      </c>
      <c r="C66" t="s">
        <v>39</v>
      </c>
      <c r="D66" s="2">
        <v>78868</v>
      </c>
    </row>
    <row r="67" spans="2:4" ht="16.5">
      <c r="B67" t="s">
        <v>7</v>
      </c>
      <c r="C67" t="s">
        <v>39</v>
      </c>
      <c r="D67" s="2">
        <v>42924</v>
      </c>
    </row>
    <row r="68" spans="2:4" ht="16.5">
      <c r="B68" t="s">
        <v>8</v>
      </c>
      <c r="C68" t="s">
        <v>39</v>
      </c>
      <c r="D68" s="2">
        <v>357376</v>
      </c>
    </row>
    <row r="69" spans="2:4" ht="16.5">
      <c r="B69" t="s">
        <v>9</v>
      </c>
      <c r="C69" t="s">
        <v>39</v>
      </c>
      <c r="D69" s="2">
        <v>45227</v>
      </c>
    </row>
    <row r="70" spans="2:4" ht="16.5">
      <c r="B70" t="s">
        <v>10</v>
      </c>
      <c r="C70" t="s">
        <v>39</v>
      </c>
      <c r="D70" s="2">
        <v>69797</v>
      </c>
    </row>
    <row r="71" spans="2:4" ht="16.5">
      <c r="B71" t="s">
        <v>11</v>
      </c>
      <c r="C71" t="s">
        <v>39</v>
      </c>
      <c r="D71" s="2">
        <v>132049</v>
      </c>
    </row>
    <row r="72" spans="2:4" ht="16.5">
      <c r="B72" t="s">
        <v>12</v>
      </c>
      <c r="C72" t="s">
        <v>39</v>
      </c>
      <c r="D72" s="2">
        <v>505944</v>
      </c>
    </row>
    <row r="73" spans="2:4" ht="16.5">
      <c r="B73" t="s">
        <v>13</v>
      </c>
      <c r="C73" t="s">
        <v>39</v>
      </c>
      <c r="D73" s="2">
        <v>633186.6</v>
      </c>
    </row>
    <row r="74" spans="2:4" ht="16.5">
      <c r="B74" t="s">
        <v>14</v>
      </c>
      <c r="C74" t="s">
        <v>39</v>
      </c>
      <c r="D74" s="2">
        <v>56594</v>
      </c>
    </row>
    <row r="75" spans="2:4" ht="16.5">
      <c r="B75" t="s">
        <v>15</v>
      </c>
      <c r="C75" t="s">
        <v>39</v>
      </c>
      <c r="D75" s="2">
        <v>302073</v>
      </c>
    </row>
    <row r="76" spans="2:4" ht="16.5">
      <c r="B76" t="s">
        <v>16</v>
      </c>
      <c r="C76" t="s">
        <v>39</v>
      </c>
      <c r="D76" s="2">
        <v>9251</v>
      </c>
    </row>
    <row r="77" spans="2:4" ht="16.5">
      <c r="B77" t="s">
        <v>17</v>
      </c>
      <c r="C77" t="s">
        <v>39</v>
      </c>
      <c r="D77" s="2">
        <v>64573</v>
      </c>
    </row>
    <row r="78" spans="2:4" ht="16.5">
      <c r="B78" t="s">
        <v>18</v>
      </c>
      <c r="C78" t="s">
        <v>39</v>
      </c>
      <c r="D78" s="2">
        <v>65286</v>
      </c>
    </row>
    <row r="79" spans="2:4" ht="16.5">
      <c r="B79" t="s">
        <v>19</v>
      </c>
      <c r="C79" t="s">
        <v>39</v>
      </c>
      <c r="D79" s="2">
        <v>2586</v>
      </c>
    </row>
    <row r="80" spans="2:4" ht="16.5">
      <c r="B80" t="s">
        <v>20</v>
      </c>
      <c r="C80" t="s">
        <v>39</v>
      </c>
      <c r="D80" s="2">
        <v>93011</v>
      </c>
    </row>
    <row r="81" spans="2:4" ht="16.5">
      <c r="B81" t="s">
        <v>21</v>
      </c>
      <c r="C81" t="s">
        <v>39</v>
      </c>
      <c r="D81" s="2">
        <v>315.39999999999998</v>
      </c>
    </row>
    <row r="82" spans="2:4" ht="16.5">
      <c r="B82" t="s">
        <v>22</v>
      </c>
      <c r="C82" t="s">
        <v>39</v>
      </c>
      <c r="D82" s="2">
        <v>41540</v>
      </c>
    </row>
    <row r="83" spans="2:4" ht="16.5">
      <c r="B83" t="s">
        <v>23</v>
      </c>
      <c r="C83" t="s">
        <v>39</v>
      </c>
      <c r="D83" s="2">
        <v>83879</v>
      </c>
    </row>
    <row r="84" spans="2:4" ht="16.5">
      <c r="B84" t="s">
        <v>24</v>
      </c>
      <c r="C84" t="s">
        <v>39</v>
      </c>
      <c r="D84" s="2">
        <v>312679</v>
      </c>
    </row>
    <row r="85" spans="2:4" ht="16.5">
      <c r="B85" t="s">
        <v>25</v>
      </c>
      <c r="C85" t="s">
        <v>39</v>
      </c>
      <c r="D85" s="2">
        <v>92226</v>
      </c>
    </row>
    <row r="86" spans="2:4" ht="16.5">
      <c r="B86" t="s">
        <v>26</v>
      </c>
      <c r="C86" t="s">
        <v>39</v>
      </c>
      <c r="D86" s="2">
        <v>238390.7</v>
      </c>
    </row>
    <row r="87" spans="2:4" ht="16.5">
      <c r="B87" t="s">
        <v>27</v>
      </c>
      <c r="C87" t="s">
        <v>39</v>
      </c>
      <c r="D87" s="2">
        <v>20273</v>
      </c>
    </row>
    <row r="88" spans="2:4" ht="16.5">
      <c r="B88" t="s">
        <v>28</v>
      </c>
      <c r="C88" t="s">
        <v>39</v>
      </c>
      <c r="D88" s="2">
        <v>49035</v>
      </c>
    </row>
    <row r="89" spans="2:4" ht="16.5">
      <c r="B89" t="s">
        <v>29</v>
      </c>
      <c r="C89" t="s">
        <v>39</v>
      </c>
      <c r="D89" s="2">
        <v>338440</v>
      </c>
    </row>
    <row r="90" spans="2:4" ht="16.5">
      <c r="B90" t="s">
        <v>30</v>
      </c>
      <c r="C90" t="s">
        <v>39</v>
      </c>
      <c r="D90" s="2">
        <v>438574</v>
      </c>
    </row>
    <row r="91" spans="2:4" ht="16.5">
      <c r="B91" t="s">
        <v>31</v>
      </c>
      <c r="C91" t="s">
        <v>39</v>
      </c>
      <c r="D91" s="2">
        <v>248536</v>
      </c>
    </row>
    <row r="92" spans="2:4" ht="16.5">
      <c r="B92" t="s">
        <v>35</v>
      </c>
      <c r="C92" t="s">
        <v>39</v>
      </c>
      <c r="D92" s="2">
        <f>SUM(D64:D91)</f>
        <v>4463531.7</v>
      </c>
    </row>
    <row r="94" spans="2:4">
      <c r="B94" t="s">
        <v>70</v>
      </c>
      <c r="C94" t="s">
        <v>71</v>
      </c>
      <c r="D94" t="s">
        <v>2</v>
      </c>
    </row>
    <row r="95" spans="2:4">
      <c r="B95" t="s">
        <v>53</v>
      </c>
      <c r="C95" t="s">
        <v>4</v>
      </c>
      <c r="D95" s="14">
        <v>112.7</v>
      </c>
    </row>
    <row r="96" spans="2:4">
      <c r="B96" t="s">
        <v>54</v>
      </c>
      <c r="C96" t="s">
        <v>4</v>
      </c>
      <c r="D96" s="14">
        <v>35</v>
      </c>
    </row>
    <row r="97" spans="2:4">
      <c r="B97" t="s">
        <v>55</v>
      </c>
      <c r="C97" t="s">
        <v>4</v>
      </c>
      <c r="D97" s="14">
        <v>89.1</v>
      </c>
    </row>
    <row r="98" spans="2:4">
      <c r="B98" t="s">
        <v>56</v>
      </c>
      <c r="C98" t="s">
        <v>4</v>
      </c>
      <c r="D98" s="14">
        <v>147.1</v>
      </c>
    </row>
    <row r="99" spans="2:4">
      <c r="B99" t="s">
        <v>57</v>
      </c>
      <c r="C99" t="s">
        <v>4</v>
      </c>
      <c r="D99" s="14">
        <v>223</v>
      </c>
    </row>
    <row r="100" spans="2:4">
      <c r="B100" t="s">
        <v>58</v>
      </c>
      <c r="C100" t="s">
        <v>4</v>
      </c>
      <c r="D100" s="14">
        <v>25.9</v>
      </c>
    </row>
    <row r="101" spans="2:4">
      <c r="B101" t="s">
        <v>59</v>
      </c>
      <c r="C101" t="s">
        <v>4</v>
      </c>
      <c r="D101" s="14">
        <v>224.3</v>
      </c>
    </row>
    <row r="102" spans="2:4">
      <c r="B102" t="s">
        <v>60</v>
      </c>
      <c r="C102" t="s">
        <v>4</v>
      </c>
      <c r="D102" s="14">
        <v>0</v>
      </c>
    </row>
    <row r="103" spans="2:4">
      <c r="B103" t="s">
        <v>61</v>
      </c>
      <c r="C103" t="s">
        <v>4</v>
      </c>
      <c r="D103" s="14">
        <v>30</v>
      </c>
    </row>
    <row r="104" spans="2:4">
      <c r="B104" t="s">
        <v>62</v>
      </c>
      <c r="C104" t="s">
        <v>4</v>
      </c>
      <c r="D104" s="14">
        <v>61.2</v>
      </c>
    </row>
    <row r="105" spans="2:4">
      <c r="B105" t="s">
        <v>63</v>
      </c>
      <c r="C105" t="s">
        <v>4</v>
      </c>
      <c r="D105" s="14">
        <v>72.3</v>
      </c>
    </row>
    <row r="106" spans="2:4">
      <c r="B106" t="s">
        <v>64</v>
      </c>
      <c r="C106" t="s">
        <v>4</v>
      </c>
      <c r="D106" s="14">
        <v>132.5</v>
      </c>
    </row>
    <row r="107" spans="2:4">
      <c r="B107" t="s">
        <v>65</v>
      </c>
      <c r="C107" t="s">
        <v>4</v>
      </c>
      <c r="D107" s="14">
        <v>76.8</v>
      </c>
    </row>
    <row r="108" spans="2:4">
      <c r="B108" t="s">
        <v>66</v>
      </c>
      <c r="C108" t="s">
        <v>4</v>
      </c>
      <c r="D108" s="14">
        <v>210.7</v>
      </c>
    </row>
    <row r="109" spans="2:4">
      <c r="B109" t="s">
        <v>67</v>
      </c>
      <c r="C109" t="s">
        <v>4</v>
      </c>
      <c r="D109" s="14">
        <v>192.3</v>
      </c>
    </row>
    <row r="110" spans="2:4">
      <c r="B110" t="s">
        <v>68</v>
      </c>
      <c r="C110" t="s">
        <v>4</v>
      </c>
      <c r="D110" s="14">
        <v>135.1</v>
      </c>
    </row>
    <row r="111" spans="2:4">
      <c r="B111" t="s">
        <v>69</v>
      </c>
      <c r="C111" t="s">
        <v>4</v>
      </c>
      <c r="D111" s="14">
        <f>SUM(D95:D110)</f>
        <v>1767.9999999999998</v>
      </c>
    </row>
    <row r="113" spans="2:9">
      <c r="B113" t="s">
        <v>83</v>
      </c>
      <c r="C113" t="s">
        <v>1</v>
      </c>
      <c r="D113" t="s">
        <v>2</v>
      </c>
    </row>
    <row r="114" spans="2:9">
      <c r="B114" t="s">
        <v>72</v>
      </c>
      <c r="C114" t="s">
        <v>84</v>
      </c>
      <c r="D114" s="14">
        <f>SUM(D2:D29)/(D92/1000)</f>
        <v>17.421854537293868</v>
      </c>
    </row>
    <row r="115" spans="2:9">
      <c r="B115" t="s">
        <v>73</v>
      </c>
      <c r="C115" t="s">
        <v>4</v>
      </c>
      <c r="D115" s="14">
        <v>2100</v>
      </c>
    </row>
    <row r="116" spans="2:9">
      <c r="B116" t="s">
        <v>86</v>
      </c>
      <c r="C116" t="s">
        <v>4</v>
      </c>
      <c r="D116" s="14">
        <v>1696</v>
      </c>
    </row>
    <row r="117" spans="2:9">
      <c r="B117" t="s">
        <v>75</v>
      </c>
      <c r="C117" t="s">
        <v>4</v>
      </c>
      <c r="D117" s="14">
        <f>D115/(D84/1000)</f>
        <v>6.7161529875687211</v>
      </c>
      <c r="H117" s="14"/>
    </row>
    <row r="118" spans="2:9">
      <c r="B118" t="s">
        <v>76</v>
      </c>
      <c r="C118" t="s">
        <v>4</v>
      </c>
      <c r="D118" s="14">
        <v>5880</v>
      </c>
    </row>
    <row r="119" spans="2:9">
      <c r="B119" t="s">
        <v>85</v>
      </c>
      <c r="C119" t="s">
        <v>4</v>
      </c>
      <c r="D119" s="14">
        <v>2450</v>
      </c>
      <c r="E119" s="14"/>
    </row>
    <row r="120" spans="2:9">
      <c r="B120" t="s">
        <v>77</v>
      </c>
      <c r="C120" t="s">
        <v>84</v>
      </c>
      <c r="D120" s="14">
        <f>D118/(D84/1000)</f>
        <v>18.80522836519242</v>
      </c>
    </row>
    <row r="121" spans="2:9">
      <c r="B121" t="s">
        <v>78</v>
      </c>
      <c r="C121" t="s">
        <v>84</v>
      </c>
      <c r="D121" s="14">
        <f>D22/(D84/1000)</f>
        <v>5.2449956664822395</v>
      </c>
      <c r="I121" s="15"/>
    </row>
    <row r="122" spans="2:9">
      <c r="B122" t="s">
        <v>79</v>
      </c>
      <c r="C122" t="s">
        <v>84</v>
      </c>
      <c r="D122" s="14">
        <f>D116/(D84/1000)</f>
        <v>5.4240930794840718</v>
      </c>
      <c r="I122" s="15"/>
    </row>
    <row r="123" spans="2:9">
      <c r="B123" t="s">
        <v>80</v>
      </c>
      <c r="C123" t="s">
        <v>84</v>
      </c>
      <c r="D123" s="14">
        <f>D111/(D84/1000)</f>
        <v>5.6543611819149993</v>
      </c>
      <c r="I123" s="15"/>
    </row>
    <row r="124" spans="2:9">
      <c r="B124" s="16" t="s">
        <v>81</v>
      </c>
      <c r="C124" s="17" t="s">
        <v>84</v>
      </c>
      <c r="D124" s="18">
        <f>D119/(D84/1000)</f>
        <v>7.8355118188301747</v>
      </c>
      <c r="I124" s="15"/>
    </row>
    <row r="125" spans="2:9">
      <c r="I125" s="15"/>
    </row>
    <row r="126" spans="2:9">
      <c r="B126" s="10" t="s">
        <v>83</v>
      </c>
      <c r="C126" s="7" t="s">
        <v>1</v>
      </c>
      <c r="D126" s="8" t="s">
        <v>2</v>
      </c>
    </row>
    <row r="127" spans="2:9">
      <c r="B127" s="3" t="s">
        <v>87</v>
      </c>
      <c r="C127" s="4" t="s">
        <v>93</v>
      </c>
      <c r="D127" s="19">
        <v>3378839943.7799997</v>
      </c>
    </row>
    <row r="128" spans="2:9">
      <c r="B128" s="21" t="s">
        <v>89</v>
      </c>
      <c r="C128" s="6" t="s">
        <v>93</v>
      </c>
      <c r="D128" s="20">
        <v>2563395000.75</v>
      </c>
    </row>
    <row r="129" spans="2:4" ht="29">
      <c r="B129" s="22" t="s">
        <v>90</v>
      </c>
      <c r="C129" s="4" t="s">
        <v>93</v>
      </c>
      <c r="D129" s="19">
        <v>815444943.02999997</v>
      </c>
    </row>
    <row r="130" spans="2:4" ht="29">
      <c r="B130" s="21" t="s">
        <v>91</v>
      </c>
      <c r="C130" s="6" t="s">
        <v>4</v>
      </c>
      <c r="D130" s="20">
        <v>29.869999999999997</v>
      </c>
    </row>
    <row r="131" spans="2:4">
      <c r="B131" s="3" t="s">
        <v>92</v>
      </c>
      <c r="C131" s="4" t="s">
        <v>94</v>
      </c>
      <c r="D131" s="19">
        <f>D127/D130</f>
        <v>113118176.89253432</v>
      </c>
    </row>
    <row r="132" spans="2:4">
      <c r="B132" s="5" t="s">
        <v>96</v>
      </c>
      <c r="C132" s="6" t="s">
        <v>94</v>
      </c>
      <c r="D132" s="20">
        <f>D131/2</f>
        <v>56559088.446267158</v>
      </c>
    </row>
    <row r="133" spans="2:4">
      <c r="B133" s="3" t="s">
        <v>92</v>
      </c>
      <c r="C133" s="4" t="s">
        <v>95</v>
      </c>
      <c r="D133" s="28">
        <f>D132/1000000</f>
        <v>56.559088446267161</v>
      </c>
    </row>
    <row r="135" spans="2:4">
      <c r="B135" s="23" t="s">
        <v>83</v>
      </c>
      <c r="C135" s="24" t="s">
        <v>1</v>
      </c>
      <c r="D135" s="25" t="s">
        <v>2</v>
      </c>
    </row>
    <row r="136" spans="2:4" ht="29">
      <c r="B136" s="1" t="s">
        <v>97</v>
      </c>
      <c r="C136" t="s">
        <v>4</v>
      </c>
      <c r="D136" s="2">
        <v>20.27</v>
      </c>
    </row>
    <row r="137" spans="2:4" ht="29">
      <c r="B137" s="1" t="s">
        <v>98</v>
      </c>
      <c r="C137" t="s">
        <v>4</v>
      </c>
      <c r="D137" s="2">
        <v>1618.7099999999998</v>
      </c>
    </row>
    <row r="138" spans="2:4" ht="29">
      <c r="B138" s="1" t="s">
        <v>99</v>
      </c>
      <c r="C138" t="s">
        <v>93</v>
      </c>
      <c r="D138" s="2">
        <v>1714101487.3800001</v>
      </c>
    </row>
    <row r="139" spans="2:4" ht="29">
      <c r="B139" s="1" t="s">
        <v>100</v>
      </c>
      <c r="C139" t="s">
        <v>93</v>
      </c>
      <c r="D139" s="2">
        <v>66185542102.679993</v>
      </c>
    </row>
    <row r="140" spans="2:4" ht="29">
      <c r="B140" s="1" t="s">
        <v>99</v>
      </c>
      <c r="C140" t="s">
        <v>106</v>
      </c>
      <c r="D140" s="2">
        <v>2</v>
      </c>
    </row>
    <row r="141" spans="2:4" ht="29">
      <c r="B141" s="1" t="s">
        <v>100</v>
      </c>
      <c r="C141" t="s">
        <v>106</v>
      </c>
      <c r="D141" s="15">
        <v>49</v>
      </c>
    </row>
    <row r="142" spans="2:4">
      <c r="B142" s="1" t="s">
        <v>102</v>
      </c>
      <c r="C142" t="s">
        <v>93</v>
      </c>
      <c r="D142" s="15">
        <f>D139+D138-D127</f>
        <v>64520803646.279991</v>
      </c>
    </row>
    <row r="143" spans="2:4">
      <c r="B143" s="1" t="s">
        <v>103</v>
      </c>
      <c r="C143" t="s">
        <v>94</v>
      </c>
      <c r="D143" s="15">
        <f>D142/SUM(D144+D145)</f>
        <v>40096700.48180072</v>
      </c>
    </row>
    <row r="144" spans="2:4" ht="29">
      <c r="B144" s="1" t="s">
        <v>104</v>
      </c>
      <c r="C144" t="s">
        <v>4</v>
      </c>
      <c r="D144" s="15">
        <v>20</v>
      </c>
    </row>
    <row r="145" spans="2:4" ht="29">
      <c r="B145" s="1" t="s">
        <v>105</v>
      </c>
      <c r="C145" t="s">
        <v>4</v>
      </c>
      <c r="D145" s="14">
        <f>1619-D130</f>
        <v>1589.13</v>
      </c>
    </row>
    <row r="146" spans="2:4">
      <c r="B146" s="1" t="s">
        <v>103</v>
      </c>
      <c r="C146" t="s">
        <v>107</v>
      </c>
      <c r="D146" s="13">
        <f>D143/1000000</f>
        <v>40.096700481800717</v>
      </c>
    </row>
    <row r="148" spans="2:4">
      <c r="B148" t="s">
        <v>83</v>
      </c>
      <c r="C148" t="s">
        <v>1</v>
      </c>
      <c r="D148" t="s">
        <v>2</v>
      </c>
    </row>
    <row r="149" spans="2:4" ht="29">
      <c r="B149" s="1" t="s">
        <v>108</v>
      </c>
      <c r="C149" t="s">
        <v>4</v>
      </c>
      <c r="D149">
        <v>218</v>
      </c>
    </row>
    <row r="150" spans="2:4">
      <c r="B150" s="1" t="s">
        <v>109</v>
      </c>
      <c r="C150" t="s">
        <v>4</v>
      </c>
      <c r="D150" s="14">
        <f>D115-D116-D149</f>
        <v>186</v>
      </c>
    </row>
    <row r="151" spans="2:4">
      <c r="B151" s="1"/>
    </row>
    <row r="152" spans="2:4" ht="29">
      <c r="B152" s="1" t="s">
        <v>110</v>
      </c>
      <c r="C152" t="s">
        <v>4</v>
      </c>
      <c r="D152">
        <v>205</v>
      </c>
    </row>
    <row r="153" spans="2:4">
      <c r="B153" s="1" t="s">
        <v>111</v>
      </c>
      <c r="C153" t="s">
        <v>4</v>
      </c>
      <c r="D153" s="14">
        <f>D118-D119-D152</f>
        <v>3225</v>
      </c>
    </row>
    <row r="154" spans="2:4">
      <c r="B154" s="1"/>
    </row>
    <row r="155" spans="2:4">
      <c r="B155" s="1" t="s">
        <v>112</v>
      </c>
      <c r="C155" t="s">
        <v>114</v>
      </c>
      <c r="D155" s="2">
        <f>D150*D133</f>
        <v>10519.990451005691</v>
      </c>
    </row>
    <row r="156" spans="2:4">
      <c r="B156" s="1" t="s">
        <v>113</v>
      </c>
      <c r="C156" t="s">
        <v>114</v>
      </c>
      <c r="D156" s="2">
        <f>D153*D146</f>
        <v>129311.85905380732</v>
      </c>
    </row>
    <row r="158" spans="2:4">
      <c r="B158" t="s">
        <v>83</v>
      </c>
      <c r="C158" t="s">
        <v>1</v>
      </c>
      <c r="D158" t="s">
        <v>2</v>
      </c>
    </row>
    <row r="159" spans="2:4">
      <c r="B159" t="s">
        <v>117</v>
      </c>
      <c r="C159" t="s">
        <v>114</v>
      </c>
      <c r="D159" s="15">
        <f>D156+D155</f>
        <v>139831.849504813</v>
      </c>
    </row>
    <row r="160" spans="2:4">
      <c r="B160" t="s">
        <v>115</v>
      </c>
      <c r="C160" t="s">
        <v>114</v>
      </c>
      <c r="D160" s="15">
        <f>Q13/1000</f>
        <v>96820.614780679985</v>
      </c>
    </row>
    <row r="161" spans="2:4">
      <c r="B161" t="s">
        <v>116</v>
      </c>
      <c r="C161" t="s">
        <v>114</v>
      </c>
      <c r="D161" s="15">
        <f>D159-D160</f>
        <v>43011.234724133014</v>
      </c>
    </row>
    <row r="162" spans="2:4">
      <c r="D162" s="15">
        <f>Q15</f>
        <v>0</v>
      </c>
    </row>
  </sheetData>
  <phoneticPr fontId="5" type="noConversion"/>
  <pageMargins left="0.7" right="0.7" top="0.75" bottom="0.75" header="0.3" footer="0.3"/>
  <pageSetup paperSize="9" orientation="portrait" r:id="rId1"/>
  <tableParts count="10">
    <tablePart r:id="rId2"/>
    <tablePart r:id="rId3"/>
    <tablePart r:id="rId4"/>
    <tablePart r:id="rId5"/>
    <tablePart r:id="rId6"/>
    <tablePart r:id="rId7"/>
    <tablePart r:id="rId8"/>
    <tablePart r:id="rId9"/>
    <tablePart r:id="rId10"/>
    <tablePart r:id="rId11"/>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8AD93E-722F-40DD-AD12-A384EC1111CB}">
  <dimension ref="B2:C15"/>
  <sheetViews>
    <sheetView workbookViewId="0">
      <selection activeCell="C15" sqref="C15"/>
    </sheetView>
  </sheetViews>
  <sheetFormatPr defaultRowHeight="14.5"/>
  <cols>
    <col min="2" max="2" width="43.54296875" customWidth="1"/>
    <col min="3" max="3" width="33.26953125" customWidth="1"/>
  </cols>
  <sheetData>
    <row r="2" spans="2:3">
      <c r="B2" t="s">
        <v>539</v>
      </c>
      <c r="C2" t="s">
        <v>540</v>
      </c>
    </row>
    <row r="3" spans="2:3">
      <c r="B3" t="s">
        <v>530</v>
      </c>
      <c r="C3" s="2">
        <v>1146</v>
      </c>
    </row>
    <row r="4" spans="2:3">
      <c r="B4" t="s">
        <v>531</v>
      </c>
      <c r="C4" s="2">
        <v>968</v>
      </c>
    </row>
    <row r="5" spans="2:3">
      <c r="B5" t="s">
        <v>532</v>
      </c>
      <c r="C5" s="2">
        <v>820</v>
      </c>
    </row>
    <row r="6" spans="2:3">
      <c r="B6" t="s">
        <v>533</v>
      </c>
      <c r="C6" s="2">
        <v>496</v>
      </c>
    </row>
    <row r="7" spans="2:3">
      <c r="B7" t="s">
        <v>534</v>
      </c>
      <c r="C7" s="2">
        <v>326</v>
      </c>
    </row>
    <row r="8" spans="2:3">
      <c r="B8" t="s">
        <v>535</v>
      </c>
      <c r="C8" s="2">
        <v>178</v>
      </c>
    </row>
    <row r="9" spans="2:3">
      <c r="B9" t="s">
        <v>536</v>
      </c>
      <c r="C9" s="2">
        <v>142</v>
      </c>
    </row>
    <row r="10" spans="2:3">
      <c r="B10" t="s">
        <v>537</v>
      </c>
      <c r="C10" s="2">
        <v>28</v>
      </c>
    </row>
    <row r="11" spans="2:3">
      <c r="B11" t="s">
        <v>538</v>
      </c>
      <c r="C11" s="2">
        <v>3</v>
      </c>
    </row>
    <row r="12" spans="2:3">
      <c r="B12" t="s">
        <v>541</v>
      </c>
      <c r="C12" s="2">
        <f>SUM(C3:C11)</f>
        <v>4107</v>
      </c>
    </row>
    <row r="13" spans="2:3">
      <c r="C13" s="2"/>
    </row>
    <row r="14" spans="2:3">
      <c r="B14" t="s">
        <v>348</v>
      </c>
      <c r="C14" s="2">
        <v>16000</v>
      </c>
    </row>
    <row r="15" spans="2:3">
      <c r="B15" t="s">
        <v>542</v>
      </c>
      <c r="C15" s="2">
        <f>C14+C12</f>
        <v>20107</v>
      </c>
    </row>
  </sheetData>
  <pageMargins left="0.7" right="0.7" top="0.75" bottom="0.75" header="0.3" footer="0.3"/>
  <tableParts count="1">
    <tablePart r:id="rId1"/>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94D25E-2476-4510-8E06-3EB8B1A80EE9}">
  <dimension ref="B2:D26"/>
  <sheetViews>
    <sheetView topLeftCell="A10" zoomScale="80" zoomScaleNormal="80" workbookViewId="0">
      <selection activeCell="C17" sqref="C17"/>
    </sheetView>
  </sheetViews>
  <sheetFormatPr defaultColWidth="48.36328125" defaultRowHeight="14.5"/>
  <sheetData>
    <row r="2" spans="2:4">
      <c r="B2" t="s">
        <v>553</v>
      </c>
      <c r="C2" t="s">
        <v>803</v>
      </c>
      <c r="D2" s="1" t="s">
        <v>554</v>
      </c>
    </row>
    <row r="3" spans="2:4" ht="29">
      <c r="B3" s="112" t="s">
        <v>544</v>
      </c>
      <c r="C3" s="2">
        <v>30000</v>
      </c>
      <c r="D3" s="1" t="s">
        <v>545</v>
      </c>
    </row>
    <row r="4" spans="2:4" ht="29">
      <c r="B4" s="112" t="s">
        <v>546</v>
      </c>
      <c r="C4" s="2">
        <f>1987500/1000</f>
        <v>1987.5</v>
      </c>
      <c r="D4" s="1" t="s">
        <v>545</v>
      </c>
    </row>
    <row r="5" spans="2:4">
      <c r="B5" s="112" t="s">
        <v>547</v>
      </c>
      <c r="C5" s="2">
        <v>12000</v>
      </c>
      <c r="D5" s="136" t="s">
        <v>548</v>
      </c>
    </row>
    <row r="6" spans="2:4" ht="43.5">
      <c r="B6" s="112" t="s">
        <v>549</v>
      </c>
      <c r="C6" s="2">
        <v>5000</v>
      </c>
      <c r="D6" s="97" t="s">
        <v>548</v>
      </c>
    </row>
    <row r="7" spans="2:4">
      <c r="B7" s="112" t="s">
        <v>550</v>
      </c>
      <c r="C7" s="2">
        <v>2500</v>
      </c>
      <c r="D7" s="136" t="s">
        <v>548</v>
      </c>
    </row>
    <row r="8" spans="2:4" ht="29">
      <c r="B8" s="112" t="s">
        <v>551</v>
      </c>
      <c r="C8" s="2">
        <v>1440</v>
      </c>
      <c r="D8" s="1" t="s">
        <v>545</v>
      </c>
    </row>
    <row r="9" spans="2:4" ht="29">
      <c r="B9" s="112" t="s">
        <v>552</v>
      </c>
      <c r="C9" s="2">
        <f>237977/1000</f>
        <v>237.977</v>
      </c>
      <c r="D9" s="1" t="s">
        <v>545</v>
      </c>
    </row>
    <row r="10" spans="2:4">
      <c r="B10" s="112" t="s">
        <v>52</v>
      </c>
      <c r="C10" s="15">
        <f>SUM(C3:C9)</f>
        <v>53165.476999999999</v>
      </c>
      <c r="D10" s="76">
        <f>C10-C8-C9</f>
        <v>51487.5</v>
      </c>
    </row>
    <row r="13" spans="2:4" ht="29">
      <c r="B13" s="113" t="s">
        <v>555</v>
      </c>
      <c r="C13" s="1" t="s">
        <v>802</v>
      </c>
    </row>
    <row r="14" spans="2:4">
      <c r="B14" t="str">
        <f>B3</f>
        <v>Program rozwoju polskich portów morskich do 2030 roku</v>
      </c>
      <c r="C14" s="15">
        <f>C3*2/3</f>
        <v>20000</v>
      </c>
    </row>
    <row r="15" spans="2:4">
      <c r="B15" t="str">
        <f>B5</f>
        <v>Port Centralny w Gdańsku</v>
      </c>
      <c r="C15" s="15">
        <f>C5</f>
        <v>12000</v>
      </c>
    </row>
    <row r="16" spans="2:4">
      <c r="B16" t="str">
        <f>B6</f>
        <v>Port Zewnętrzny w Gdyni</v>
      </c>
      <c r="C16" s="15">
        <f>C6</f>
        <v>5000</v>
      </c>
    </row>
    <row r="17" spans="2:3">
      <c r="B17" s="114" t="s">
        <v>52</v>
      </c>
      <c r="C17" s="80">
        <f>SUM(C14:C16)</f>
        <v>37000</v>
      </c>
    </row>
    <row r="18" spans="2:3">
      <c r="B18" s="113" t="s">
        <v>556</v>
      </c>
    </row>
    <row r="19" spans="2:3" ht="29">
      <c r="B19" s="112" t="str">
        <f>B3</f>
        <v>Program rozwoju polskich portów morskich do 2030 roku</v>
      </c>
      <c r="C19" s="15">
        <f>C3*1/3</f>
        <v>10000</v>
      </c>
    </row>
    <row r="20" spans="2:3" ht="29">
      <c r="B20" s="112" t="str">
        <f>B8</f>
        <v>Modernizacja toru wodnego Świnoujście-Szczecin do głębokości 12,5 m</v>
      </c>
      <c r="C20" s="15">
        <f>C8</f>
        <v>1440</v>
      </c>
    </row>
    <row r="21" spans="2:3" ht="29">
      <c r="B21" s="112" t="str">
        <f>B9</f>
        <v>Program wieloletni pn. „Utrzymanie dróg wodnych w rejonie ujścia Odry w latach 2019-2028”</v>
      </c>
      <c r="C21" s="15">
        <f>C9</f>
        <v>237.977</v>
      </c>
    </row>
    <row r="22" spans="2:3">
      <c r="B22" s="112" t="str">
        <f>B7</f>
        <v>Terminal Kontenerowy w Świnoujściu</v>
      </c>
      <c r="C22" s="15">
        <f>C7</f>
        <v>2500</v>
      </c>
    </row>
    <row r="23" spans="2:3">
      <c r="B23" s="114" t="s">
        <v>52</v>
      </c>
      <c r="C23" s="80">
        <f>SUM(C19:C22)</f>
        <v>14177.977000000001</v>
      </c>
    </row>
    <row r="24" spans="2:3">
      <c r="B24" s="113" t="s">
        <v>557</v>
      </c>
    </row>
    <row r="25" spans="2:3" ht="29">
      <c r="B25" s="1" t="str">
        <f>B4</f>
        <v>Program wieloletni pn. „Budowa drogi wodnej łączącej Zalew Wiślany z Zatoką Gdańską na lata 2016-2022”</v>
      </c>
      <c r="C25" s="15">
        <f>C4</f>
        <v>1987.5</v>
      </c>
    </row>
    <row r="26" spans="2:3">
      <c r="B26" s="114" t="s">
        <v>52</v>
      </c>
      <c r="C26" s="80">
        <f>C25</f>
        <v>1987.5</v>
      </c>
    </row>
  </sheetData>
  <hyperlinks>
    <hyperlink ref="D5" r:id="rId1" xr:uid="{89A66E52-7871-4DBB-8280-40ECDA344A03}"/>
    <hyperlink ref="D6" r:id="rId2" xr:uid="{347272E7-BB6A-4218-83BC-F5F60BE243AC}"/>
    <hyperlink ref="D7" r:id="rId3" xr:uid="{6ABA82D2-E673-402D-9E1D-EECF95005AC8}"/>
  </hyperlinks>
  <pageMargins left="0.7" right="0.7" top="0.75" bottom="0.75" header="0.3" footer="0.3"/>
  <tableParts count="2">
    <tablePart r:id="rId4"/>
    <tablePart r:id="rId5"/>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63720B-29B1-4797-8C4A-159ADEA4BD87}">
  <dimension ref="B2:D14"/>
  <sheetViews>
    <sheetView workbookViewId="0">
      <selection activeCell="D10" sqref="D10"/>
    </sheetView>
  </sheetViews>
  <sheetFormatPr defaultRowHeight="14.5"/>
  <cols>
    <col min="2" max="2" width="46.7265625" customWidth="1"/>
    <col min="3" max="3" width="31.453125" customWidth="1"/>
    <col min="4" max="4" width="17.6328125" customWidth="1"/>
  </cols>
  <sheetData>
    <row r="2" spans="2:4">
      <c r="B2" t="s">
        <v>564</v>
      </c>
      <c r="C2" t="s">
        <v>114</v>
      </c>
    </row>
    <row r="3" spans="2:4" ht="29">
      <c r="B3" s="1" t="s">
        <v>560</v>
      </c>
      <c r="C3" s="2">
        <v>30700</v>
      </c>
    </row>
    <row r="4" spans="2:4" ht="29">
      <c r="B4" s="1" t="s">
        <v>561</v>
      </c>
      <c r="C4" s="2">
        <v>31500</v>
      </c>
    </row>
    <row r="5" spans="2:4">
      <c r="B5" t="s">
        <v>562</v>
      </c>
      <c r="C5" s="2">
        <v>6500</v>
      </c>
    </row>
    <row r="6" spans="2:4">
      <c r="B6" t="s">
        <v>563</v>
      </c>
      <c r="C6" s="2">
        <v>8100</v>
      </c>
    </row>
    <row r="7" spans="2:4">
      <c r="B7" t="s">
        <v>52</v>
      </c>
      <c r="C7" s="2">
        <f>SUM(C3:C6)</f>
        <v>76800</v>
      </c>
    </row>
    <row r="9" spans="2:4" ht="43.5">
      <c r="B9" s="1" t="s">
        <v>565</v>
      </c>
      <c r="C9" s="115" t="s">
        <v>804</v>
      </c>
      <c r="D9" s="115" t="s">
        <v>805</v>
      </c>
    </row>
    <row r="10" spans="2:4" ht="29">
      <c r="B10" s="1" t="s">
        <v>566</v>
      </c>
      <c r="C10" s="2">
        <v>16500</v>
      </c>
      <c r="D10" t="s">
        <v>806</v>
      </c>
    </row>
    <row r="11" spans="2:4" ht="29">
      <c r="B11" s="1" t="s">
        <v>567</v>
      </c>
      <c r="C11" s="2">
        <v>31500</v>
      </c>
      <c r="D11" s="2">
        <v>31500</v>
      </c>
    </row>
    <row r="12" spans="2:4">
      <c r="B12" s="1" t="s">
        <v>568</v>
      </c>
      <c r="C12" s="2">
        <v>11000</v>
      </c>
      <c r="D12" s="2">
        <v>11000</v>
      </c>
    </row>
    <row r="13" spans="2:4">
      <c r="B13" s="1" t="s">
        <v>569</v>
      </c>
      <c r="C13" s="2">
        <v>8100</v>
      </c>
      <c r="D13">
        <v>25500</v>
      </c>
    </row>
    <row r="14" spans="2:4">
      <c r="B14" t="s">
        <v>52</v>
      </c>
      <c r="C14" s="15">
        <f>SUM(C10:C13)</f>
        <v>67100</v>
      </c>
      <c r="D14" s="15">
        <f>SUM(D10:D13)</f>
        <v>68000</v>
      </c>
    </row>
  </sheetData>
  <pageMargins left="0.7" right="0.7" top="0.75" bottom="0.75" header="0.3" footer="0.3"/>
  <tableParts count="2">
    <tablePart r:id="rId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1529F8-BA95-49BB-8085-42793E87AADA}">
  <dimension ref="B2:I303"/>
  <sheetViews>
    <sheetView topLeftCell="A121" workbookViewId="0">
      <selection activeCell="B124" activeCellId="2" sqref="B120 B122 B124"/>
    </sheetView>
  </sheetViews>
  <sheetFormatPr defaultRowHeight="14.5"/>
  <cols>
    <col min="2" max="3" width="46.7265625" customWidth="1"/>
    <col min="4" max="4" width="25.90625" customWidth="1"/>
    <col min="5" max="5" width="19.90625" customWidth="1"/>
    <col min="6" max="6" width="13.6328125" customWidth="1"/>
    <col min="7" max="7" width="20" customWidth="1"/>
    <col min="8" max="8" width="13.54296875" customWidth="1"/>
    <col min="9" max="9" width="8.90625" customWidth="1"/>
    <col min="10" max="10" width="12.1796875" bestFit="1" customWidth="1"/>
  </cols>
  <sheetData>
    <row r="2" spans="2:8" ht="29">
      <c r="B2" s="60" t="s">
        <v>207</v>
      </c>
      <c r="C2" s="59" t="s">
        <v>571</v>
      </c>
      <c r="D2" s="59" t="s">
        <v>572</v>
      </c>
      <c r="E2" s="59" t="s">
        <v>573</v>
      </c>
      <c r="F2" s="59" t="s">
        <v>574</v>
      </c>
      <c r="G2" s="59" t="s">
        <v>575</v>
      </c>
      <c r="H2" s="59" t="s">
        <v>576</v>
      </c>
    </row>
    <row r="3" spans="2:8">
      <c r="B3" s="61"/>
      <c r="C3" s="38" t="s">
        <v>46</v>
      </c>
      <c r="D3" s="38" t="s">
        <v>46</v>
      </c>
      <c r="E3" s="38" t="s">
        <v>46</v>
      </c>
      <c r="F3" s="38" t="s">
        <v>46</v>
      </c>
      <c r="G3" s="38" t="s">
        <v>46</v>
      </c>
      <c r="H3" s="38" t="s">
        <v>46</v>
      </c>
    </row>
    <row r="4" spans="2:8">
      <c r="B4" s="61"/>
      <c r="C4" s="38" t="s">
        <v>101</v>
      </c>
      <c r="D4" s="38" t="s">
        <v>101</v>
      </c>
      <c r="E4" s="38" t="s">
        <v>101</v>
      </c>
      <c r="F4" s="38" t="s">
        <v>577</v>
      </c>
      <c r="G4" s="38" t="s">
        <v>577</v>
      </c>
      <c r="H4" s="38" t="s">
        <v>577</v>
      </c>
    </row>
    <row r="5" spans="2:8">
      <c r="B5" t="s">
        <v>69</v>
      </c>
      <c r="C5" s="41">
        <v>12058</v>
      </c>
      <c r="D5" s="41">
        <v>3189</v>
      </c>
      <c r="E5" s="41">
        <v>231</v>
      </c>
      <c r="F5" s="14">
        <v>1766.2</v>
      </c>
      <c r="G5" s="14">
        <v>1275.3</v>
      </c>
      <c r="H5" s="14">
        <v>469.8</v>
      </c>
    </row>
    <row r="6" spans="2:8">
      <c r="B6" t="s">
        <v>147</v>
      </c>
      <c r="C6" s="41">
        <v>784</v>
      </c>
      <c r="D6" s="41">
        <v>344</v>
      </c>
      <c r="E6" s="41">
        <v>0</v>
      </c>
      <c r="F6" s="14">
        <v>137.5</v>
      </c>
      <c r="G6" s="14">
        <v>84.7</v>
      </c>
      <c r="H6" s="14">
        <v>52.7</v>
      </c>
    </row>
    <row r="7" spans="2:8">
      <c r="B7" t="s">
        <v>148</v>
      </c>
      <c r="C7" s="41">
        <v>547</v>
      </c>
      <c r="D7" s="41">
        <v>200</v>
      </c>
      <c r="E7" s="41">
        <v>0</v>
      </c>
      <c r="F7" s="14">
        <v>87.7</v>
      </c>
      <c r="G7" s="14">
        <v>61.3</v>
      </c>
      <c r="H7" s="14">
        <v>26.4</v>
      </c>
    </row>
    <row r="8" spans="2:8">
      <c r="B8" t="s">
        <v>149</v>
      </c>
      <c r="C8" s="41">
        <v>458</v>
      </c>
      <c r="D8" s="41">
        <v>0</v>
      </c>
      <c r="E8" s="41">
        <v>120</v>
      </c>
      <c r="F8" s="14">
        <v>59.3</v>
      </c>
      <c r="G8" s="14">
        <v>48.1</v>
      </c>
      <c r="H8" s="14">
        <v>0</v>
      </c>
    </row>
    <row r="9" spans="2:8">
      <c r="B9" t="s">
        <v>150</v>
      </c>
      <c r="C9" s="41">
        <v>214</v>
      </c>
      <c r="D9" s="41">
        <v>18</v>
      </c>
      <c r="E9" s="41">
        <v>0</v>
      </c>
      <c r="F9" s="14">
        <v>23.2</v>
      </c>
      <c r="G9" s="14">
        <v>20.399999999999999</v>
      </c>
      <c r="H9" s="14">
        <v>2.8</v>
      </c>
    </row>
    <row r="10" spans="2:8">
      <c r="B10" t="s">
        <v>151</v>
      </c>
      <c r="C10" s="41">
        <v>798</v>
      </c>
      <c r="D10" s="41">
        <v>503</v>
      </c>
      <c r="E10" s="41">
        <v>0</v>
      </c>
      <c r="F10" s="14">
        <v>138.1</v>
      </c>
      <c r="G10" s="14">
        <v>83.1</v>
      </c>
      <c r="H10" s="14">
        <v>55</v>
      </c>
    </row>
    <row r="11" spans="2:8">
      <c r="B11" t="s">
        <v>152</v>
      </c>
      <c r="C11" s="41">
        <v>957</v>
      </c>
      <c r="D11" s="41">
        <v>395</v>
      </c>
      <c r="E11" s="41">
        <v>0</v>
      </c>
      <c r="F11" s="14">
        <v>151.19999999999999</v>
      </c>
      <c r="G11" s="14">
        <v>91</v>
      </c>
      <c r="H11" s="14">
        <v>60.2</v>
      </c>
    </row>
    <row r="12" spans="2:8">
      <c r="B12" t="s">
        <v>153</v>
      </c>
      <c r="C12" s="41">
        <v>2634</v>
      </c>
      <c r="D12" s="41">
        <v>727</v>
      </c>
      <c r="E12" s="41">
        <v>0</v>
      </c>
      <c r="F12" s="14">
        <v>405.9</v>
      </c>
      <c r="G12" s="14">
        <v>292.8</v>
      </c>
      <c r="H12" s="14">
        <v>113.2</v>
      </c>
    </row>
    <row r="13" spans="2:8">
      <c r="B13" t="s">
        <v>154</v>
      </c>
      <c r="C13" s="41">
        <v>172</v>
      </c>
      <c r="D13" s="41">
        <v>0</v>
      </c>
      <c r="E13" s="41">
        <v>0</v>
      </c>
      <c r="F13" s="14">
        <v>16.899999999999999</v>
      </c>
      <c r="G13" s="14">
        <v>16.899999999999999</v>
      </c>
      <c r="H13" s="14">
        <v>0</v>
      </c>
    </row>
    <row r="14" spans="2:8">
      <c r="B14" t="s">
        <v>155</v>
      </c>
      <c r="C14" s="41">
        <v>470</v>
      </c>
      <c r="D14" s="41">
        <v>0</v>
      </c>
      <c r="E14" s="41">
        <v>0</v>
      </c>
      <c r="F14" s="14">
        <v>40.4</v>
      </c>
      <c r="G14" s="14">
        <v>40.4</v>
      </c>
      <c r="H14" s="14">
        <v>0</v>
      </c>
    </row>
    <row r="15" spans="2:8">
      <c r="B15" t="s">
        <v>156</v>
      </c>
      <c r="C15" s="41">
        <v>358</v>
      </c>
      <c r="D15" s="41">
        <v>0</v>
      </c>
      <c r="E15" s="41">
        <v>0</v>
      </c>
      <c r="F15" s="14">
        <v>43.1</v>
      </c>
      <c r="G15" s="14">
        <v>43.1</v>
      </c>
      <c r="H15" s="14">
        <v>0</v>
      </c>
    </row>
    <row r="16" spans="2:8">
      <c r="B16" t="s">
        <v>157</v>
      </c>
      <c r="C16" s="41">
        <v>689</v>
      </c>
      <c r="D16" s="41">
        <v>126</v>
      </c>
      <c r="E16" s="41">
        <v>90</v>
      </c>
      <c r="F16" s="14">
        <v>109</v>
      </c>
      <c r="G16" s="14">
        <v>76.599999999999994</v>
      </c>
      <c r="H16" s="14">
        <v>24.4</v>
      </c>
    </row>
    <row r="17" spans="2:8">
      <c r="B17" t="s">
        <v>158</v>
      </c>
      <c r="C17" s="41">
        <v>1846</v>
      </c>
      <c r="D17" s="41">
        <v>350</v>
      </c>
      <c r="E17" s="41">
        <v>21</v>
      </c>
      <c r="F17" s="14">
        <v>252.5</v>
      </c>
      <c r="G17" s="14">
        <v>199.1</v>
      </c>
      <c r="H17" s="14">
        <v>51.6</v>
      </c>
    </row>
    <row r="18" spans="2:8">
      <c r="B18" t="s">
        <v>159</v>
      </c>
      <c r="C18" s="41">
        <v>392</v>
      </c>
      <c r="D18" s="41">
        <v>0</v>
      </c>
      <c r="E18" s="41">
        <v>0</v>
      </c>
      <c r="F18" s="14">
        <v>38.6</v>
      </c>
      <c r="G18" s="14">
        <v>38.6</v>
      </c>
      <c r="H18" s="14">
        <v>0</v>
      </c>
    </row>
    <row r="19" spans="2:8">
      <c r="B19" t="s">
        <v>160</v>
      </c>
      <c r="C19" s="41">
        <v>296</v>
      </c>
      <c r="D19" s="41">
        <v>44</v>
      </c>
      <c r="E19" s="41">
        <v>0</v>
      </c>
      <c r="F19" s="14">
        <v>36.1</v>
      </c>
      <c r="G19" s="14">
        <v>29.4</v>
      </c>
      <c r="H19" s="14">
        <v>6.8</v>
      </c>
    </row>
    <row r="20" spans="2:8">
      <c r="B20" t="s">
        <v>161</v>
      </c>
      <c r="C20" s="41">
        <v>950</v>
      </c>
      <c r="D20" s="41">
        <v>280</v>
      </c>
      <c r="E20" s="41">
        <v>0</v>
      </c>
      <c r="F20" s="14">
        <v>142.1</v>
      </c>
      <c r="G20" s="14">
        <v>95.5</v>
      </c>
      <c r="H20" s="14">
        <v>46.6</v>
      </c>
    </row>
    <row r="21" spans="2:8">
      <c r="B21" t="s">
        <v>162</v>
      </c>
      <c r="C21" s="41">
        <v>493</v>
      </c>
      <c r="D21" s="41">
        <v>202</v>
      </c>
      <c r="E21" s="41">
        <v>0</v>
      </c>
      <c r="F21" s="14">
        <v>84.5</v>
      </c>
      <c r="G21" s="14">
        <v>54.4</v>
      </c>
      <c r="H21" s="14">
        <v>30.1</v>
      </c>
    </row>
    <row r="23" spans="2:8">
      <c r="B23" s="60" t="s">
        <v>207</v>
      </c>
      <c r="C23" s="59" t="s">
        <v>578</v>
      </c>
      <c r="D23" s="59" t="s">
        <v>40</v>
      </c>
      <c r="E23" s="59" t="s">
        <v>41</v>
      </c>
    </row>
    <row r="24" spans="2:8">
      <c r="B24" s="61"/>
      <c r="C24" s="38" t="s">
        <v>571</v>
      </c>
      <c r="D24" s="38" t="s">
        <v>572</v>
      </c>
      <c r="E24" s="38" t="s">
        <v>573</v>
      </c>
    </row>
    <row r="25" spans="2:8">
      <c r="B25" s="61"/>
      <c r="C25" s="38" t="s">
        <v>46</v>
      </c>
      <c r="D25" s="38" t="s">
        <v>46</v>
      </c>
      <c r="E25" s="38" t="s">
        <v>46</v>
      </c>
    </row>
    <row r="26" spans="2:8">
      <c r="B26" s="61"/>
      <c r="C26" s="38" t="s">
        <v>579</v>
      </c>
      <c r="D26" s="38" t="s">
        <v>579</v>
      </c>
      <c r="E26" s="38" t="s">
        <v>579</v>
      </c>
    </row>
    <row r="27" spans="2:8">
      <c r="B27" t="s">
        <v>69</v>
      </c>
      <c r="C27" s="41">
        <v>709949</v>
      </c>
      <c r="D27" s="41">
        <v>165727</v>
      </c>
      <c r="E27" s="41">
        <v>11990</v>
      </c>
    </row>
    <row r="28" spans="2:8">
      <c r="B28" t="s">
        <v>147</v>
      </c>
      <c r="C28" s="41">
        <v>44570</v>
      </c>
      <c r="D28" s="41">
        <v>19079</v>
      </c>
      <c r="E28" s="41">
        <v>0</v>
      </c>
    </row>
    <row r="29" spans="2:8">
      <c r="B29" t="s">
        <v>148</v>
      </c>
      <c r="C29" s="41">
        <v>33040</v>
      </c>
      <c r="D29" s="41">
        <v>6610</v>
      </c>
      <c r="E29" s="41">
        <v>0</v>
      </c>
    </row>
    <row r="30" spans="2:8">
      <c r="B30" t="s">
        <v>149</v>
      </c>
      <c r="C30" s="41">
        <v>26070</v>
      </c>
      <c r="D30" s="41">
        <v>0</v>
      </c>
      <c r="E30" s="41">
        <v>5424</v>
      </c>
    </row>
    <row r="31" spans="2:8">
      <c r="B31" t="s">
        <v>150</v>
      </c>
      <c r="C31" s="41">
        <v>10826</v>
      </c>
      <c r="D31" s="41">
        <v>0</v>
      </c>
      <c r="E31" s="41">
        <v>0</v>
      </c>
    </row>
    <row r="32" spans="2:8">
      <c r="B32" t="s">
        <v>151</v>
      </c>
      <c r="C32" s="41">
        <v>44040</v>
      </c>
      <c r="D32" s="41">
        <v>25222</v>
      </c>
      <c r="E32" s="41">
        <v>0</v>
      </c>
    </row>
    <row r="33" spans="2:6">
      <c r="B33" t="s">
        <v>152</v>
      </c>
      <c r="C33" s="41">
        <v>58862</v>
      </c>
      <c r="D33" s="41">
        <v>21890</v>
      </c>
      <c r="E33" s="41">
        <v>0</v>
      </c>
    </row>
    <row r="34" spans="2:6">
      <c r="B34" t="s">
        <v>153</v>
      </c>
      <c r="C34" s="41">
        <v>162833</v>
      </c>
      <c r="D34" s="41">
        <v>35211</v>
      </c>
      <c r="E34" s="41">
        <v>0</v>
      </c>
    </row>
    <row r="35" spans="2:6">
      <c r="B35" t="s">
        <v>154</v>
      </c>
      <c r="C35" s="41">
        <v>9429</v>
      </c>
      <c r="D35" s="41">
        <v>0</v>
      </c>
      <c r="E35" s="41">
        <v>0</v>
      </c>
    </row>
    <row r="36" spans="2:6">
      <c r="B36" t="s">
        <v>155</v>
      </c>
      <c r="C36" s="41">
        <v>20223</v>
      </c>
      <c r="D36" s="41">
        <v>0</v>
      </c>
      <c r="E36" s="41">
        <v>0</v>
      </c>
    </row>
    <row r="37" spans="2:6">
      <c r="B37" t="s">
        <v>156</v>
      </c>
      <c r="C37" s="41">
        <v>20234</v>
      </c>
      <c r="D37" s="41">
        <v>0</v>
      </c>
      <c r="E37" s="41">
        <v>0</v>
      </c>
    </row>
    <row r="38" spans="2:6">
      <c r="B38" t="s">
        <v>157</v>
      </c>
      <c r="C38" s="41">
        <v>38874</v>
      </c>
      <c r="D38" s="41">
        <v>14051</v>
      </c>
      <c r="E38" s="41">
        <v>5269</v>
      </c>
    </row>
    <row r="39" spans="2:6">
      <c r="B39" t="s">
        <v>158</v>
      </c>
      <c r="C39" s="41">
        <v>122486</v>
      </c>
      <c r="D39" s="41">
        <v>18352</v>
      </c>
      <c r="E39" s="41">
        <v>1297</v>
      </c>
    </row>
    <row r="40" spans="2:6">
      <c r="B40" t="s">
        <v>159</v>
      </c>
      <c r="C40" s="41">
        <v>28525</v>
      </c>
      <c r="D40" s="41">
        <v>0</v>
      </c>
      <c r="E40" s="41">
        <v>0</v>
      </c>
    </row>
    <row r="41" spans="2:6">
      <c r="B41" t="s">
        <v>160</v>
      </c>
      <c r="C41" s="41">
        <v>11269</v>
      </c>
      <c r="D41" s="41">
        <v>2011</v>
      </c>
      <c r="E41" s="41">
        <v>0</v>
      </c>
    </row>
    <row r="42" spans="2:6">
      <c r="B42" t="s">
        <v>161</v>
      </c>
      <c r="C42" s="41">
        <v>52645</v>
      </c>
      <c r="D42" s="41">
        <v>13907</v>
      </c>
      <c r="E42" s="41">
        <v>0</v>
      </c>
    </row>
    <row r="43" spans="2:6">
      <c r="B43" t="s">
        <v>162</v>
      </c>
      <c r="C43" s="41">
        <v>26023</v>
      </c>
      <c r="D43" s="41">
        <v>9394</v>
      </c>
      <c r="E43" s="41">
        <v>0</v>
      </c>
    </row>
    <row r="45" spans="2:6">
      <c r="B45" s="1" t="s">
        <v>580</v>
      </c>
      <c r="C45" s="85" t="s">
        <v>581</v>
      </c>
      <c r="D45" s="30" t="s">
        <v>582</v>
      </c>
      <c r="E45" t="s">
        <v>426</v>
      </c>
    </row>
    <row r="46" spans="2:6">
      <c r="B46" t="str">
        <f t="shared" ref="B46:B61" si="0">B27</f>
        <v>POLSKA</v>
      </c>
      <c r="C46" s="2">
        <f>$C$45*C5</f>
        <v>506.43600000000004</v>
      </c>
      <c r="D46" s="29">
        <f>$D$45*C5</f>
        <v>1929.28</v>
      </c>
      <c r="E46" s="29">
        <f>D46-C46</f>
        <v>1422.8440000000001</v>
      </c>
      <c r="F46" s="29"/>
    </row>
    <row r="47" spans="2:6">
      <c r="B47" t="str">
        <f t="shared" si="0"/>
        <v>DOLNOŚLĄSKIE</v>
      </c>
      <c r="C47" s="2">
        <f t="shared" ref="C47:C62" si="1">$C$45*C6</f>
        <v>32.928000000000004</v>
      </c>
      <c r="D47" s="29">
        <f t="shared" ref="D47:D62" si="2">$D$45*C6</f>
        <v>125.44</v>
      </c>
      <c r="E47" s="29">
        <f t="shared" ref="E47:E62" si="3">D47-C47</f>
        <v>92.512</v>
      </c>
      <c r="F47" s="29"/>
    </row>
    <row r="48" spans="2:6">
      <c r="B48" t="str">
        <f t="shared" si="0"/>
        <v>KUJAWSKO-POMORSKIE</v>
      </c>
      <c r="C48" s="2">
        <f t="shared" si="1"/>
        <v>22.974</v>
      </c>
      <c r="D48" s="29">
        <f t="shared" si="2"/>
        <v>87.52</v>
      </c>
      <c r="E48" s="29">
        <f t="shared" si="3"/>
        <v>64.545999999999992</v>
      </c>
      <c r="F48" s="29"/>
    </row>
    <row r="49" spans="2:6">
      <c r="B49" t="str">
        <f t="shared" si="0"/>
        <v>LUBELSKIE</v>
      </c>
      <c r="C49" s="2">
        <f t="shared" si="1"/>
        <v>19.236000000000001</v>
      </c>
      <c r="D49" s="29">
        <f t="shared" si="2"/>
        <v>73.28</v>
      </c>
      <c r="E49" s="29">
        <f t="shared" si="3"/>
        <v>54.043999999999997</v>
      </c>
      <c r="F49" s="29"/>
    </row>
    <row r="50" spans="2:6">
      <c r="B50" t="str">
        <f t="shared" si="0"/>
        <v>LUBUSKIE</v>
      </c>
      <c r="C50" s="2">
        <f t="shared" si="1"/>
        <v>8.9880000000000013</v>
      </c>
      <c r="D50" s="29">
        <f t="shared" si="2"/>
        <v>34.24</v>
      </c>
      <c r="E50" s="29">
        <f t="shared" si="3"/>
        <v>25.252000000000002</v>
      </c>
      <c r="F50" s="29"/>
    </row>
    <row r="51" spans="2:6">
      <c r="B51" t="str">
        <f t="shared" si="0"/>
        <v>ŁÓDZKIE</v>
      </c>
      <c r="C51" s="2">
        <f t="shared" si="1"/>
        <v>33.516000000000005</v>
      </c>
      <c r="D51" s="29">
        <f t="shared" si="2"/>
        <v>127.68</v>
      </c>
      <c r="E51" s="29">
        <f t="shared" si="3"/>
        <v>94.164000000000001</v>
      </c>
      <c r="F51" s="29"/>
    </row>
    <row r="52" spans="2:6">
      <c r="B52" t="str">
        <f t="shared" si="0"/>
        <v>MAŁOPOLSKIE</v>
      </c>
      <c r="C52" s="2">
        <f t="shared" si="1"/>
        <v>40.194000000000003</v>
      </c>
      <c r="D52" s="29">
        <f t="shared" si="2"/>
        <v>153.12</v>
      </c>
      <c r="E52" s="29">
        <f t="shared" si="3"/>
        <v>112.926</v>
      </c>
      <c r="F52" s="29"/>
    </row>
    <row r="53" spans="2:6">
      <c r="B53" t="str">
        <f t="shared" si="0"/>
        <v>MAZOWIECKIE</v>
      </c>
      <c r="C53" s="2">
        <f t="shared" si="1"/>
        <v>110.628</v>
      </c>
      <c r="D53" s="29">
        <f t="shared" si="2"/>
        <v>421.44</v>
      </c>
      <c r="E53" s="29">
        <f t="shared" si="3"/>
        <v>310.81200000000001</v>
      </c>
      <c r="F53" s="29"/>
    </row>
    <row r="54" spans="2:6">
      <c r="B54" t="str">
        <f t="shared" si="0"/>
        <v>OPOLSKIE</v>
      </c>
      <c r="C54" s="2">
        <f t="shared" si="1"/>
        <v>7.2240000000000002</v>
      </c>
      <c r="D54" s="29">
        <f t="shared" si="2"/>
        <v>27.52</v>
      </c>
      <c r="E54" s="29">
        <f t="shared" si="3"/>
        <v>20.295999999999999</v>
      </c>
      <c r="F54" s="29"/>
    </row>
    <row r="55" spans="2:6">
      <c r="B55" t="str">
        <f t="shared" si="0"/>
        <v>PODKARPACKIE</v>
      </c>
      <c r="C55" s="2">
        <f t="shared" si="1"/>
        <v>19.740000000000002</v>
      </c>
      <c r="D55" s="29">
        <f t="shared" si="2"/>
        <v>75.2</v>
      </c>
      <c r="E55" s="29">
        <f t="shared" si="3"/>
        <v>55.46</v>
      </c>
      <c r="F55" s="29"/>
    </row>
    <row r="56" spans="2:6">
      <c r="B56" t="str">
        <f t="shared" si="0"/>
        <v>PODLASKIE</v>
      </c>
      <c r="C56" s="2">
        <f t="shared" si="1"/>
        <v>15.036000000000001</v>
      </c>
      <c r="D56" s="29">
        <f t="shared" si="2"/>
        <v>57.28</v>
      </c>
      <c r="E56" s="29">
        <f t="shared" si="3"/>
        <v>42.244</v>
      </c>
      <c r="F56" s="29"/>
    </row>
    <row r="57" spans="2:6">
      <c r="B57" t="str">
        <f t="shared" si="0"/>
        <v>POMORSKIE</v>
      </c>
      <c r="C57" s="2">
        <f t="shared" si="1"/>
        <v>28.938000000000002</v>
      </c>
      <c r="D57" s="29">
        <f t="shared" si="2"/>
        <v>110.24000000000001</v>
      </c>
      <c r="E57" s="29">
        <f t="shared" si="3"/>
        <v>81.302000000000007</v>
      </c>
      <c r="F57" s="29"/>
    </row>
    <row r="58" spans="2:6">
      <c r="B58" t="str">
        <f t="shared" si="0"/>
        <v>ŚLĄSKIE</v>
      </c>
      <c r="C58" s="2">
        <f t="shared" si="1"/>
        <v>77.532000000000011</v>
      </c>
      <c r="D58" s="29">
        <f t="shared" si="2"/>
        <v>295.36</v>
      </c>
      <c r="E58" s="29">
        <f t="shared" si="3"/>
        <v>217.828</v>
      </c>
      <c r="F58" s="29"/>
    </row>
    <row r="59" spans="2:6">
      <c r="B59" t="str">
        <f t="shared" si="0"/>
        <v>ŚWIĘTOKRZYSKIE</v>
      </c>
      <c r="C59" s="2">
        <f t="shared" si="1"/>
        <v>16.464000000000002</v>
      </c>
      <c r="D59" s="29">
        <f t="shared" si="2"/>
        <v>62.72</v>
      </c>
      <c r="E59" s="29">
        <f t="shared" si="3"/>
        <v>46.256</v>
      </c>
      <c r="F59" s="29"/>
    </row>
    <row r="60" spans="2:6">
      <c r="B60" t="str">
        <f t="shared" si="0"/>
        <v>WARMIŃSKO-MAZURSKIE</v>
      </c>
      <c r="C60" s="2">
        <f t="shared" si="1"/>
        <v>12.432</v>
      </c>
      <c r="D60" s="29">
        <f t="shared" si="2"/>
        <v>47.36</v>
      </c>
      <c r="E60" s="29">
        <f t="shared" si="3"/>
        <v>34.927999999999997</v>
      </c>
      <c r="F60" s="29"/>
    </row>
    <row r="61" spans="2:6">
      <c r="B61" t="str">
        <f t="shared" si="0"/>
        <v>WIELKOPOLSKIE</v>
      </c>
      <c r="C61" s="2">
        <f t="shared" si="1"/>
        <v>39.900000000000006</v>
      </c>
      <c r="D61" s="29">
        <f t="shared" si="2"/>
        <v>152</v>
      </c>
      <c r="E61" s="29">
        <f t="shared" si="3"/>
        <v>112.1</v>
      </c>
      <c r="F61" s="29"/>
    </row>
    <row r="62" spans="2:6">
      <c r="B62" s="5" t="s">
        <v>162</v>
      </c>
      <c r="C62" s="2">
        <f t="shared" si="1"/>
        <v>20.706</v>
      </c>
      <c r="D62" s="29">
        <f t="shared" si="2"/>
        <v>78.88</v>
      </c>
      <c r="E62" s="29">
        <f t="shared" si="3"/>
        <v>58.173999999999992</v>
      </c>
    </row>
    <row r="63" spans="2:6">
      <c r="B63" s="126" t="s">
        <v>271</v>
      </c>
      <c r="C63" s="2"/>
      <c r="D63" s="29"/>
      <c r="E63" s="29">
        <f>E46*3</f>
        <v>4268.5320000000002</v>
      </c>
    </row>
    <row r="65" spans="2:7">
      <c r="B65" s="118" t="s">
        <v>670</v>
      </c>
      <c r="C65" s="118" t="s">
        <v>403</v>
      </c>
      <c r="D65" s="118" t="s">
        <v>631</v>
      </c>
      <c r="E65" s="118" t="s">
        <v>632</v>
      </c>
      <c r="F65" s="118" t="s">
        <v>633</v>
      </c>
      <c r="G65" s="118" t="s">
        <v>2</v>
      </c>
    </row>
    <row r="66" spans="2:7" ht="26">
      <c r="B66" s="119" t="s">
        <v>583</v>
      </c>
      <c r="C66" s="119" t="s">
        <v>584</v>
      </c>
      <c r="D66" s="119" t="s">
        <v>67</v>
      </c>
      <c r="E66" s="119" t="s">
        <v>585</v>
      </c>
      <c r="F66" s="119" t="s">
        <v>586</v>
      </c>
      <c r="G66" s="120">
        <v>20342375.649999999</v>
      </c>
    </row>
    <row r="67" spans="2:7" ht="26">
      <c r="B67" s="119" t="s">
        <v>587</v>
      </c>
      <c r="C67" s="119" t="s">
        <v>588</v>
      </c>
      <c r="D67" s="119" t="s">
        <v>53</v>
      </c>
      <c r="E67" s="119" t="s">
        <v>589</v>
      </c>
      <c r="F67" s="119" t="s">
        <v>590</v>
      </c>
      <c r="G67" s="120">
        <v>19534805.859999999</v>
      </c>
    </row>
    <row r="68" spans="2:7">
      <c r="B68" s="119" t="s">
        <v>591</v>
      </c>
      <c r="C68" s="119" t="s">
        <v>592</v>
      </c>
      <c r="D68" s="119" t="s">
        <v>593</v>
      </c>
      <c r="E68" s="119" t="s">
        <v>594</v>
      </c>
      <c r="F68" s="119" t="s">
        <v>595</v>
      </c>
      <c r="G68" s="120">
        <v>54846324.619999997</v>
      </c>
    </row>
    <row r="69" spans="2:7">
      <c r="B69" s="119" t="s">
        <v>596</v>
      </c>
      <c r="C69" s="119" t="s">
        <v>597</v>
      </c>
      <c r="D69" s="119" t="s">
        <v>53</v>
      </c>
      <c r="E69" s="119" t="s">
        <v>598</v>
      </c>
      <c r="F69" s="119" t="s">
        <v>599</v>
      </c>
      <c r="G69" s="120">
        <v>95468026.030000001</v>
      </c>
    </row>
    <row r="70" spans="2:7" ht="26">
      <c r="B70" s="119" t="s">
        <v>600</v>
      </c>
      <c r="C70" s="119" t="s">
        <v>601</v>
      </c>
      <c r="D70" s="119" t="s">
        <v>68</v>
      </c>
      <c r="E70" s="119" t="s">
        <v>602</v>
      </c>
      <c r="F70" s="119" t="s">
        <v>603</v>
      </c>
      <c r="G70" s="120">
        <v>54261332.88000001</v>
      </c>
    </row>
    <row r="71" spans="2:7" ht="26">
      <c r="B71" s="119" t="s">
        <v>604</v>
      </c>
      <c r="C71" s="119" t="s">
        <v>605</v>
      </c>
      <c r="D71" s="119" t="s">
        <v>61</v>
      </c>
      <c r="E71" s="119" t="s">
        <v>606</v>
      </c>
      <c r="F71" s="119" t="s">
        <v>607</v>
      </c>
      <c r="G71" s="120">
        <v>16275577.140000001</v>
      </c>
    </row>
    <row r="72" spans="2:7" ht="26">
      <c r="B72" s="119" t="s">
        <v>608</v>
      </c>
      <c r="C72" s="119" t="s">
        <v>609</v>
      </c>
      <c r="D72" s="119" t="s">
        <v>64</v>
      </c>
      <c r="E72" s="119" t="s">
        <v>610</v>
      </c>
      <c r="F72" s="119" t="s">
        <v>611</v>
      </c>
      <c r="G72" s="120">
        <v>34538601.460000001</v>
      </c>
    </row>
    <row r="73" spans="2:7" ht="26">
      <c r="B73" s="119" t="s">
        <v>612</v>
      </c>
      <c r="C73" s="119" t="s">
        <v>613</v>
      </c>
      <c r="D73" s="119" t="s">
        <v>58</v>
      </c>
      <c r="E73" s="119" t="s">
        <v>614</v>
      </c>
      <c r="F73" s="119" t="s">
        <v>615</v>
      </c>
      <c r="G73" s="120">
        <v>46149354.850000001</v>
      </c>
    </row>
    <row r="74" spans="2:7" ht="26">
      <c r="B74" s="119" t="s">
        <v>616</v>
      </c>
      <c r="C74" s="119" t="s">
        <v>617</v>
      </c>
      <c r="D74" s="119" t="s">
        <v>64</v>
      </c>
      <c r="E74" s="119" t="s">
        <v>618</v>
      </c>
      <c r="F74" s="119"/>
      <c r="G74" s="120">
        <v>6137161.6499999976</v>
      </c>
    </row>
    <row r="75" spans="2:7">
      <c r="B75" s="119" t="s">
        <v>619</v>
      </c>
      <c r="C75" s="119" t="s">
        <v>620</v>
      </c>
      <c r="D75" s="119" t="s">
        <v>67</v>
      </c>
      <c r="E75" s="119" t="s">
        <v>621</v>
      </c>
      <c r="F75" s="119" t="s">
        <v>622</v>
      </c>
      <c r="G75" s="120">
        <v>94719795.670000002</v>
      </c>
    </row>
    <row r="76" spans="2:7" ht="26">
      <c r="B76" s="119" t="s">
        <v>623</v>
      </c>
      <c r="C76" s="119" t="s">
        <v>624</v>
      </c>
      <c r="D76" s="119" t="s">
        <v>63</v>
      </c>
      <c r="E76" s="119" t="s">
        <v>625</v>
      </c>
      <c r="F76" s="119" t="s">
        <v>626</v>
      </c>
      <c r="G76" s="120">
        <v>158968883.58000001</v>
      </c>
    </row>
    <row r="77" spans="2:7" ht="26">
      <c r="B77" s="119" t="s">
        <v>627</v>
      </c>
      <c r="C77" s="119" t="s">
        <v>628</v>
      </c>
      <c r="D77" s="119" t="s">
        <v>64</v>
      </c>
      <c r="E77" s="119" t="s">
        <v>629</v>
      </c>
      <c r="F77" s="119" t="s">
        <v>630</v>
      </c>
      <c r="G77" s="120">
        <v>14280997.530000003</v>
      </c>
    </row>
    <row r="78" spans="2:7">
      <c r="F78" t="s">
        <v>35</v>
      </c>
      <c r="G78" s="51">
        <f>SUM(G66:G77)</f>
        <v>615523236.91999996</v>
      </c>
    </row>
    <row r="79" spans="2:7" ht="26">
      <c r="B79" s="119"/>
      <c r="C79" s="119"/>
      <c r="D79" s="119"/>
      <c r="E79" s="119"/>
      <c r="F79" s="119" t="s">
        <v>421</v>
      </c>
      <c r="G79" s="123">
        <f>G78/12</f>
        <v>51293603.076666661</v>
      </c>
    </row>
    <row r="81" spans="2:5">
      <c r="B81" s="16" t="s">
        <v>654</v>
      </c>
      <c r="C81" s="16" t="s">
        <v>631</v>
      </c>
      <c r="D81" s="16" t="s">
        <v>652</v>
      </c>
      <c r="E81" s="16" t="s">
        <v>2</v>
      </c>
    </row>
    <row r="82" spans="2:5" ht="31.5">
      <c r="B82" s="121" t="s">
        <v>634</v>
      </c>
      <c r="C82" s="121" t="s">
        <v>157</v>
      </c>
      <c r="D82" s="121" t="s">
        <v>635</v>
      </c>
      <c r="E82" s="122">
        <v>17391915.164999999</v>
      </c>
    </row>
    <row r="83" spans="2:5" ht="31.5">
      <c r="B83" s="121" t="s">
        <v>634</v>
      </c>
      <c r="C83" s="121" t="s">
        <v>157</v>
      </c>
      <c r="D83" s="121" t="s">
        <v>635</v>
      </c>
      <c r="E83" s="122">
        <v>17391915.164999999</v>
      </c>
    </row>
    <row r="84" spans="2:5" ht="42">
      <c r="B84" s="121" t="s">
        <v>636</v>
      </c>
      <c r="C84" s="121" t="s">
        <v>152</v>
      </c>
      <c r="D84" s="121" t="s">
        <v>637</v>
      </c>
      <c r="E84" s="122">
        <v>88336403.799999997</v>
      </c>
    </row>
    <row r="85" spans="2:5" ht="42">
      <c r="B85" s="121" t="s">
        <v>638</v>
      </c>
      <c r="C85" s="121" t="s">
        <v>161</v>
      </c>
      <c r="D85" s="121" t="s">
        <v>639</v>
      </c>
      <c r="E85" s="122">
        <v>127451370</v>
      </c>
    </row>
    <row r="86" spans="2:5" ht="42">
      <c r="B86" s="121" t="s">
        <v>640</v>
      </c>
      <c r="C86" s="121" t="s">
        <v>147</v>
      </c>
      <c r="D86" s="121" t="s">
        <v>641</v>
      </c>
      <c r="E86" s="122">
        <v>52336500</v>
      </c>
    </row>
    <row r="87" spans="2:5" ht="42">
      <c r="B87" s="121" t="s">
        <v>640</v>
      </c>
      <c r="C87" s="121" t="s">
        <v>147</v>
      </c>
      <c r="D87" s="121" t="s">
        <v>641</v>
      </c>
      <c r="E87" s="122">
        <v>52336500</v>
      </c>
    </row>
    <row r="88" spans="2:5" ht="42">
      <c r="B88" s="121" t="s">
        <v>640</v>
      </c>
      <c r="C88" s="121" t="s">
        <v>147</v>
      </c>
      <c r="D88" s="121" t="s">
        <v>641</v>
      </c>
      <c r="E88" s="122">
        <v>52336500</v>
      </c>
    </row>
    <row r="89" spans="2:5" ht="42">
      <c r="B89" s="121" t="s">
        <v>640</v>
      </c>
      <c r="C89" s="121" t="s">
        <v>147</v>
      </c>
      <c r="D89" s="121" t="s">
        <v>641</v>
      </c>
      <c r="E89" s="122">
        <v>52336500</v>
      </c>
    </row>
    <row r="90" spans="2:5" ht="31.5">
      <c r="B90" s="121" t="s">
        <v>642</v>
      </c>
      <c r="C90" s="121" t="s">
        <v>155</v>
      </c>
      <c r="D90" s="121" t="s">
        <v>643</v>
      </c>
      <c r="E90" s="122">
        <v>287562927.16000003</v>
      </c>
    </row>
    <row r="91" spans="2:5" ht="42">
      <c r="B91" s="121" t="s">
        <v>644</v>
      </c>
      <c r="C91" s="121" t="s">
        <v>153</v>
      </c>
      <c r="D91" s="121" t="s">
        <v>645</v>
      </c>
      <c r="E91" s="122">
        <v>538777951.97000003</v>
      </c>
    </row>
    <row r="92" spans="2:5" ht="42">
      <c r="B92" s="121" t="s">
        <v>646</v>
      </c>
      <c r="C92" s="121" t="s">
        <v>162</v>
      </c>
      <c r="D92" s="121" t="s">
        <v>647</v>
      </c>
      <c r="E92" s="122">
        <v>741203584.08000004</v>
      </c>
    </row>
    <row r="93" spans="2:5" ht="42">
      <c r="B93" s="121" t="s">
        <v>642</v>
      </c>
      <c r="C93" s="121" t="s">
        <v>155</v>
      </c>
      <c r="D93" s="121" t="s">
        <v>648</v>
      </c>
      <c r="E93" s="122">
        <v>301087338.22000003</v>
      </c>
    </row>
    <row r="94" spans="2:5" ht="52.5">
      <c r="B94" s="121" t="s">
        <v>634</v>
      </c>
      <c r="C94" s="121" t="s">
        <v>157</v>
      </c>
      <c r="D94" s="121" t="s">
        <v>649</v>
      </c>
      <c r="E94" s="122">
        <v>89091973.409999996</v>
      </c>
    </row>
    <row r="95" spans="2:5" ht="42">
      <c r="B95" s="121" t="s">
        <v>650</v>
      </c>
      <c r="C95" s="121" t="s">
        <v>153</v>
      </c>
      <c r="D95" s="121" t="s">
        <v>651</v>
      </c>
      <c r="E95" s="122">
        <v>17990444.9683333</v>
      </c>
    </row>
    <row r="96" spans="2:5" ht="42">
      <c r="B96" s="121" t="s">
        <v>650</v>
      </c>
      <c r="C96" s="121" t="s">
        <v>153</v>
      </c>
      <c r="D96" s="121" t="s">
        <v>651</v>
      </c>
      <c r="E96" s="122">
        <v>17990444.9683333</v>
      </c>
    </row>
    <row r="97" spans="2:5" ht="42">
      <c r="B97" s="121" t="s">
        <v>650</v>
      </c>
      <c r="C97" s="121" t="s">
        <v>153</v>
      </c>
      <c r="D97" s="121" t="s">
        <v>651</v>
      </c>
      <c r="E97" s="122">
        <v>17990444.9683333</v>
      </c>
    </row>
    <row r="98" spans="2:5" ht="42">
      <c r="B98" s="121" t="s">
        <v>650</v>
      </c>
      <c r="C98" s="121" t="s">
        <v>153</v>
      </c>
      <c r="D98" s="121" t="s">
        <v>651</v>
      </c>
      <c r="E98" s="122">
        <v>53971334.905000001</v>
      </c>
    </row>
    <row r="99" spans="2:5">
      <c r="B99" s="124"/>
      <c r="C99" s="124"/>
      <c r="D99" s="124" t="s">
        <v>655</v>
      </c>
      <c r="E99" s="125">
        <f>AVERAGE(E82:E98)</f>
        <v>148563767.57529414</v>
      </c>
    </row>
    <row r="102" spans="2:5">
      <c r="B102" s="16" t="s">
        <v>653</v>
      </c>
      <c r="C102" s="16" t="s">
        <v>631</v>
      </c>
      <c r="D102" s="16" t="s">
        <v>652</v>
      </c>
      <c r="E102" s="16" t="s">
        <v>2</v>
      </c>
    </row>
    <row r="103" spans="2:5" ht="73.5">
      <c r="B103" s="121" t="s">
        <v>656</v>
      </c>
      <c r="C103" s="121" t="s">
        <v>147</v>
      </c>
      <c r="D103" s="121" t="s">
        <v>657</v>
      </c>
      <c r="E103" s="122">
        <v>122501288.28</v>
      </c>
    </row>
    <row r="104" spans="2:5" ht="21">
      <c r="B104" s="121" t="s">
        <v>656</v>
      </c>
      <c r="C104" s="121" t="s">
        <v>157</v>
      </c>
      <c r="D104" s="121" t="s">
        <v>658</v>
      </c>
      <c r="E104" s="122">
        <v>9541637.8337500002</v>
      </c>
    </row>
    <row r="105" spans="2:5" ht="21">
      <c r="B105" s="121" t="s">
        <v>656</v>
      </c>
      <c r="C105" s="121" t="s">
        <v>157</v>
      </c>
      <c r="D105" s="121" t="s">
        <v>658</v>
      </c>
      <c r="E105" s="122">
        <v>9541637.8337500002</v>
      </c>
    </row>
    <row r="106" spans="2:5" ht="21">
      <c r="B106" s="121" t="s">
        <v>656</v>
      </c>
      <c r="C106" s="121" t="s">
        <v>157</v>
      </c>
      <c r="D106" s="121" t="s">
        <v>658</v>
      </c>
      <c r="E106" s="122">
        <v>9541637.8337500002</v>
      </c>
    </row>
    <row r="107" spans="2:5" ht="21">
      <c r="B107" s="121" t="s">
        <v>656</v>
      </c>
      <c r="C107" s="121" t="s">
        <v>157</v>
      </c>
      <c r="D107" s="121" t="s">
        <v>658</v>
      </c>
      <c r="E107" s="122">
        <v>9541637.8337500002</v>
      </c>
    </row>
    <row r="108" spans="2:5" ht="21">
      <c r="B108" s="121" t="s">
        <v>656</v>
      </c>
      <c r="C108" s="121" t="s">
        <v>157</v>
      </c>
      <c r="D108" s="121" t="s">
        <v>658</v>
      </c>
      <c r="E108" s="122">
        <v>38166551.335000001</v>
      </c>
    </row>
    <row r="109" spans="2:5" ht="21">
      <c r="B109" s="121" t="s">
        <v>656</v>
      </c>
      <c r="C109" s="121" t="s">
        <v>150</v>
      </c>
      <c r="D109" s="121" t="s">
        <v>659</v>
      </c>
      <c r="E109" s="122">
        <v>21847277.3125</v>
      </c>
    </row>
    <row r="110" spans="2:5" ht="21">
      <c r="B110" s="121" t="s">
        <v>656</v>
      </c>
      <c r="C110" s="121" t="s">
        <v>150</v>
      </c>
      <c r="D110" s="121" t="s">
        <v>659</v>
      </c>
      <c r="E110" s="122">
        <v>21847277.3125</v>
      </c>
    </row>
    <row r="111" spans="2:5" ht="21">
      <c r="B111" s="121" t="s">
        <v>656</v>
      </c>
      <c r="C111" s="121" t="s">
        <v>161</v>
      </c>
      <c r="D111" s="121" t="s">
        <v>659</v>
      </c>
      <c r="E111" s="122">
        <v>21847277.3125</v>
      </c>
    </row>
    <row r="112" spans="2:5" ht="21">
      <c r="B112" s="121" t="s">
        <v>656</v>
      </c>
      <c r="C112" s="121" t="s">
        <v>161</v>
      </c>
      <c r="D112" s="121" t="s">
        <v>659</v>
      </c>
      <c r="E112" s="122">
        <v>21847277.3125</v>
      </c>
    </row>
    <row r="113" spans="2:5" ht="31.5">
      <c r="B113" s="121" t="s">
        <v>656</v>
      </c>
      <c r="C113" s="121" t="s">
        <v>153</v>
      </c>
      <c r="D113" s="121" t="s">
        <v>660</v>
      </c>
      <c r="E113" s="122">
        <v>36349392.104999997</v>
      </c>
    </row>
    <row r="114" spans="2:5" ht="31.5">
      <c r="B114" s="121" t="s">
        <v>656</v>
      </c>
      <c r="C114" s="121" t="s">
        <v>159</v>
      </c>
      <c r="D114" s="121" t="s">
        <v>660</v>
      </c>
      <c r="E114" s="122">
        <v>36349392.104999997</v>
      </c>
    </row>
    <row r="115" spans="2:5" ht="63">
      <c r="B115" s="121" t="s">
        <v>661</v>
      </c>
      <c r="C115" s="121" t="s">
        <v>157</v>
      </c>
      <c r="D115" s="121" t="s">
        <v>662</v>
      </c>
      <c r="E115" s="122">
        <v>130374299.98</v>
      </c>
    </row>
    <row r="116" spans="2:5">
      <c r="B116" s="16"/>
      <c r="C116" s="16"/>
      <c r="D116" s="16" t="s">
        <v>32</v>
      </c>
      <c r="E116" s="123">
        <f>AVERAGE(E103:E115)</f>
        <v>37638198.799230777</v>
      </c>
    </row>
    <row r="119" spans="2:5">
      <c r="B119" t="s">
        <v>669</v>
      </c>
      <c r="C119" t="s">
        <v>664</v>
      </c>
      <c r="D119" t="s">
        <v>666</v>
      </c>
      <c r="E119" t="s">
        <v>665</v>
      </c>
    </row>
    <row r="120" spans="2:5">
      <c r="B120" s="136" t="s">
        <v>663</v>
      </c>
      <c r="C120">
        <v>130</v>
      </c>
      <c r="D120">
        <v>400</v>
      </c>
      <c r="E120" s="26">
        <f>D120/C120</f>
        <v>3.0769230769230771</v>
      </c>
    </row>
    <row r="121" spans="2:5" ht="43.5">
      <c r="B121" s="97" t="s">
        <v>667</v>
      </c>
      <c r="C121">
        <v>50</v>
      </c>
      <c r="D121">
        <v>164</v>
      </c>
      <c r="E121" s="26">
        <f>D121/C121</f>
        <v>3.28</v>
      </c>
    </row>
    <row r="122" spans="2:5">
      <c r="B122" s="136" t="s">
        <v>668</v>
      </c>
      <c r="C122">
        <v>5</v>
      </c>
      <c r="D122">
        <v>13.4</v>
      </c>
      <c r="E122" s="26">
        <f>D122/C122</f>
        <v>2.68</v>
      </c>
    </row>
    <row r="123" spans="2:5" ht="43.5">
      <c r="B123" s="97" t="s">
        <v>668</v>
      </c>
      <c r="C123">
        <v>7</v>
      </c>
      <c r="D123">
        <v>18.7</v>
      </c>
      <c r="E123" s="127">
        <f>D123/C123</f>
        <v>2.6714285714285713</v>
      </c>
    </row>
    <row r="124" spans="2:5">
      <c r="B124" s="136"/>
      <c r="D124" t="s">
        <v>32</v>
      </c>
      <c r="E124" s="26">
        <f>AVERAGE(E120:E123)</f>
        <v>2.9270879120879121</v>
      </c>
    </row>
    <row r="127" spans="2:5" ht="29">
      <c r="B127" s="1" t="s">
        <v>678</v>
      </c>
      <c r="C127" t="s">
        <v>429</v>
      </c>
    </row>
    <row r="128" spans="2:5">
      <c r="B128" s="128" t="s">
        <v>673</v>
      </c>
      <c r="C128">
        <v>18</v>
      </c>
    </row>
    <row r="129" spans="2:4">
      <c r="B129" s="128" t="s">
        <v>674</v>
      </c>
      <c r="C129">
        <v>30</v>
      </c>
    </row>
    <row r="130" spans="2:4">
      <c r="B130" s="128" t="s">
        <v>675</v>
      </c>
      <c r="C130">
        <v>56</v>
      </c>
    </row>
    <row r="131" spans="2:4">
      <c r="B131" s="128" t="s">
        <v>672</v>
      </c>
      <c r="C131">
        <v>247</v>
      </c>
    </row>
    <row r="132" spans="2:4">
      <c r="C132" s="39">
        <f>SUM(C128:C131)</f>
        <v>351</v>
      </c>
    </row>
    <row r="135" spans="2:4">
      <c r="B135" t="s">
        <v>782</v>
      </c>
      <c r="C135" t="s">
        <v>2</v>
      </c>
    </row>
    <row r="136" spans="2:4">
      <c r="B136" s="1" t="s">
        <v>671</v>
      </c>
      <c r="C136">
        <f>SUM(C128:C130)</f>
        <v>104</v>
      </c>
    </row>
    <row r="137" spans="2:4">
      <c r="B137" s="1" t="s">
        <v>677</v>
      </c>
      <c r="C137">
        <v>51</v>
      </c>
      <c r="D137">
        <f>D126*25</f>
        <v>0</v>
      </c>
    </row>
    <row r="138" spans="2:4">
      <c r="B138" s="1" t="s">
        <v>676</v>
      </c>
      <c r="C138">
        <f>C136-C137</f>
        <v>53</v>
      </c>
      <c r="D138" s="32"/>
    </row>
    <row r="139" spans="2:4" ht="29">
      <c r="B139" s="1" t="s">
        <v>679</v>
      </c>
      <c r="C139" s="2">
        <f>(C137*(G79/2))/1000000</f>
        <v>1307.9868784549999</v>
      </c>
    </row>
    <row r="140" spans="2:4" ht="29">
      <c r="B140" s="1" t="s">
        <v>680</v>
      </c>
      <c r="C140" s="2">
        <f>(C138*G79)/1000000</f>
        <v>2718.560963063333</v>
      </c>
    </row>
    <row r="141" spans="2:4">
      <c r="B141" s="1" t="s">
        <v>52</v>
      </c>
      <c r="C141" s="15">
        <f>C140+C139</f>
        <v>4026.5478415183329</v>
      </c>
    </row>
    <row r="144" spans="2:4">
      <c r="B144" t="s">
        <v>40</v>
      </c>
      <c r="C144" t="s">
        <v>421</v>
      </c>
    </row>
    <row r="145" spans="2:5">
      <c r="B145" s="129" t="s">
        <v>682</v>
      </c>
      <c r="C145" s="41">
        <f>E116/1000000</f>
        <v>37.638198799230778</v>
      </c>
    </row>
    <row r="146" spans="2:5">
      <c r="B146" s="129" t="s">
        <v>683</v>
      </c>
      <c r="C146" s="41">
        <f>C145</f>
        <v>37.638198799230778</v>
      </c>
    </row>
    <row r="147" spans="2:5">
      <c r="B147" s="129" t="s">
        <v>684</v>
      </c>
      <c r="C147" s="41">
        <f t="shared" ref="C147:C154" si="4">C146</f>
        <v>37.638198799230778</v>
      </c>
    </row>
    <row r="148" spans="2:5">
      <c r="B148" s="129" t="s">
        <v>685</v>
      </c>
      <c r="C148" s="41">
        <f t="shared" si="4"/>
        <v>37.638198799230778</v>
      </c>
    </row>
    <row r="149" spans="2:5">
      <c r="B149" s="129" t="s">
        <v>686</v>
      </c>
      <c r="C149" s="41">
        <f t="shared" si="4"/>
        <v>37.638198799230778</v>
      </c>
    </row>
    <row r="150" spans="2:5">
      <c r="B150" s="129" t="s">
        <v>687</v>
      </c>
      <c r="C150" s="41">
        <f t="shared" si="4"/>
        <v>37.638198799230778</v>
      </c>
    </row>
    <row r="151" spans="2:5">
      <c r="B151" s="129" t="s">
        <v>692</v>
      </c>
      <c r="C151" s="41">
        <f t="shared" si="4"/>
        <v>37.638198799230778</v>
      </c>
    </row>
    <row r="152" spans="2:5">
      <c r="B152" s="129" t="s">
        <v>688</v>
      </c>
      <c r="C152" s="41">
        <f t="shared" si="4"/>
        <v>37.638198799230778</v>
      </c>
    </row>
    <row r="153" spans="2:5">
      <c r="B153" s="129" t="s">
        <v>689</v>
      </c>
      <c r="C153" s="41">
        <f t="shared" si="4"/>
        <v>37.638198799230778</v>
      </c>
    </row>
    <row r="154" spans="2:5">
      <c r="B154" s="1" t="s">
        <v>681</v>
      </c>
      <c r="C154" s="41">
        <f t="shared" si="4"/>
        <v>37.638198799230778</v>
      </c>
    </row>
    <row r="155" spans="2:5">
      <c r="B155" s="129" t="s">
        <v>52</v>
      </c>
      <c r="C155" s="41">
        <f>SUM(C145:C154)</f>
        <v>376.38198799230787</v>
      </c>
    </row>
    <row r="156" spans="2:5">
      <c r="E156" s="51"/>
    </row>
    <row r="159" spans="2:5">
      <c r="B159" t="s">
        <v>40</v>
      </c>
      <c r="C159" t="s">
        <v>690</v>
      </c>
      <c r="D159" t="s">
        <v>691</v>
      </c>
    </row>
    <row r="160" spans="2:5">
      <c r="B160" t="s">
        <v>69</v>
      </c>
      <c r="C160" s="2">
        <f>SUM(C161:C176)</f>
        <v>594.2550703011766</v>
      </c>
      <c r="D160" s="2">
        <f>SUM(D161:D176)</f>
        <v>376.38198799230787</v>
      </c>
    </row>
    <row r="161" spans="2:4">
      <c r="B161" t="s">
        <v>147</v>
      </c>
      <c r="C161" s="41">
        <f>C163</f>
        <v>148.56376757529415</v>
      </c>
      <c r="D161" s="51"/>
    </row>
    <row r="162" spans="2:4">
      <c r="B162" t="s">
        <v>148</v>
      </c>
      <c r="D162" s="51">
        <f>C148</f>
        <v>37.638198799230778</v>
      </c>
    </row>
    <row r="163" spans="2:4">
      <c r="B163" t="s">
        <v>149</v>
      </c>
      <c r="C163" s="41">
        <f>E99/1000000</f>
        <v>148.56376757529415</v>
      </c>
    </row>
    <row r="164" spans="2:4">
      <c r="B164" t="s">
        <v>150</v>
      </c>
    </row>
    <row r="165" spans="2:4">
      <c r="B165" t="s">
        <v>151</v>
      </c>
      <c r="D165" s="51">
        <f>C150</f>
        <v>37.638198799230778</v>
      </c>
    </row>
    <row r="166" spans="2:4">
      <c r="B166" t="s">
        <v>152</v>
      </c>
      <c r="D166" s="51">
        <f>C151</f>
        <v>37.638198799230778</v>
      </c>
    </row>
    <row r="167" spans="2:4">
      <c r="B167" t="s">
        <v>153</v>
      </c>
      <c r="D167" s="51">
        <f>C145+C146</f>
        <v>75.276397598461557</v>
      </c>
    </row>
    <row r="168" spans="2:4">
      <c r="B168" t="s">
        <v>154</v>
      </c>
    </row>
    <row r="169" spans="2:4">
      <c r="B169" t="s">
        <v>155</v>
      </c>
      <c r="D169" s="51">
        <f>C153</f>
        <v>37.638198799230778</v>
      </c>
    </row>
    <row r="170" spans="2:4">
      <c r="B170" t="s">
        <v>156</v>
      </c>
      <c r="C170" s="41">
        <f>C174</f>
        <v>148.56376757529415</v>
      </c>
    </row>
    <row r="171" spans="2:4">
      <c r="B171" t="s">
        <v>157</v>
      </c>
      <c r="D171" s="51">
        <f>C147</f>
        <v>37.638198799230778</v>
      </c>
    </row>
    <row r="172" spans="2:4">
      <c r="B172" t="s">
        <v>158</v>
      </c>
      <c r="D172" s="51">
        <f>C149</f>
        <v>37.638198799230778</v>
      </c>
    </row>
    <row r="173" spans="2:4">
      <c r="B173" t="s">
        <v>159</v>
      </c>
    </row>
    <row r="174" spans="2:4">
      <c r="B174" t="s">
        <v>160</v>
      </c>
      <c r="C174" s="41">
        <f>C163</f>
        <v>148.56376757529415</v>
      </c>
    </row>
    <row r="175" spans="2:4">
      <c r="B175" t="s">
        <v>161</v>
      </c>
      <c r="D175" s="51">
        <f>C154</f>
        <v>37.638198799230778</v>
      </c>
    </row>
    <row r="176" spans="2:4">
      <c r="B176" t="s">
        <v>162</v>
      </c>
      <c r="D176" s="51">
        <f>C152</f>
        <v>37.638198799230778</v>
      </c>
    </row>
    <row r="179" spans="2:9" ht="29">
      <c r="B179" s="1" t="s">
        <v>703</v>
      </c>
      <c r="C179" t="s">
        <v>699</v>
      </c>
      <c r="D179" s="1" t="s">
        <v>704</v>
      </c>
      <c r="E179" t="s">
        <v>706</v>
      </c>
      <c r="F179" t="s">
        <v>700</v>
      </c>
      <c r="G179" s="1" t="s">
        <v>701</v>
      </c>
      <c r="H179" t="s">
        <v>705</v>
      </c>
      <c r="I179" t="s">
        <v>702</v>
      </c>
    </row>
    <row r="180" spans="2:9">
      <c r="B180" s="1" t="s">
        <v>698</v>
      </c>
      <c r="C180">
        <v>45</v>
      </c>
      <c r="D180">
        <v>25</v>
      </c>
      <c r="E180">
        <f>D180*C180</f>
        <v>1125</v>
      </c>
      <c r="F180">
        <f>14*5</f>
        <v>70</v>
      </c>
      <c r="G180">
        <v>9</v>
      </c>
      <c r="H180">
        <f>G180*F180</f>
        <v>630</v>
      </c>
      <c r="I180">
        <f>H180+E180</f>
        <v>1755</v>
      </c>
    </row>
    <row r="181" spans="2:9" ht="16" customHeight="1"/>
    <row r="196" spans="2:6">
      <c r="B196" t="s">
        <v>718</v>
      </c>
      <c r="C196" t="s">
        <v>2</v>
      </c>
      <c r="D196" t="s">
        <v>4</v>
      </c>
      <c r="E196" t="s">
        <v>707</v>
      </c>
      <c r="F196" t="s">
        <v>708</v>
      </c>
    </row>
    <row r="197" spans="2:6" ht="29">
      <c r="B197" s="1" t="s">
        <v>709</v>
      </c>
      <c r="C197" s="2">
        <v>3164178317.0799999</v>
      </c>
      <c r="D197" s="2">
        <v>6.6</v>
      </c>
      <c r="E197" s="2">
        <v>479420957.13333333</v>
      </c>
      <c r="F197" s="2">
        <v>111493245.84496124</v>
      </c>
    </row>
    <row r="198" spans="2:6">
      <c r="B198" s="1" t="s">
        <v>710</v>
      </c>
      <c r="C198" s="2">
        <v>3564536216</v>
      </c>
      <c r="D198" s="2">
        <v>5.9</v>
      </c>
      <c r="E198" s="2">
        <v>604158680.67796612</v>
      </c>
      <c r="F198" s="2">
        <v>140502018.76231772</v>
      </c>
    </row>
    <row r="199" spans="2:6">
      <c r="B199" s="1" t="s">
        <v>711</v>
      </c>
      <c r="C199" s="2">
        <v>1623000000</v>
      </c>
      <c r="D199" s="2">
        <v>3.92</v>
      </c>
      <c r="E199" s="2">
        <v>414030612.24489796</v>
      </c>
      <c r="F199" s="2">
        <v>96286188.894162327</v>
      </c>
    </row>
    <row r="200" spans="2:6">
      <c r="C200" s="2"/>
      <c r="D200" s="2"/>
      <c r="E200" s="2"/>
      <c r="F200" s="2"/>
    </row>
    <row r="201" spans="2:6">
      <c r="B201" t="s">
        <v>52</v>
      </c>
      <c r="C201" s="2">
        <f>SUM(C197:C199)</f>
        <v>8351714533.0799999</v>
      </c>
      <c r="D201" s="2" t="s">
        <v>32</v>
      </c>
      <c r="E201" s="2">
        <f>AVERAGE(E197:E199)</f>
        <v>499203416.68539906</v>
      </c>
      <c r="F201" s="2">
        <f>AVERAGE(F197:F199)</f>
        <v>116093817.83381374</v>
      </c>
    </row>
    <row r="203" spans="2:6">
      <c r="B203" t="s">
        <v>712</v>
      </c>
      <c r="C203" t="s">
        <v>713</v>
      </c>
      <c r="D203" t="s">
        <v>714</v>
      </c>
    </row>
    <row r="204" spans="2:6">
      <c r="B204" t="s">
        <v>715</v>
      </c>
      <c r="C204">
        <v>8.3000000000000007</v>
      </c>
      <c r="D204" s="2">
        <v>4143388358.4888124</v>
      </c>
    </row>
    <row r="205" spans="2:6">
      <c r="B205" t="s">
        <v>715</v>
      </c>
      <c r="C205">
        <v>11.9</v>
      </c>
      <c r="D205" s="2">
        <v>5940520658.5562487</v>
      </c>
    </row>
    <row r="206" spans="2:6">
      <c r="B206" t="s">
        <v>716</v>
      </c>
      <c r="C206">
        <v>7.3</v>
      </c>
      <c r="D206" s="2">
        <v>3644184941.8034129</v>
      </c>
    </row>
    <row r="207" spans="2:6">
      <c r="B207" t="s">
        <v>716</v>
      </c>
      <c r="C207">
        <v>10</v>
      </c>
      <c r="D207" s="2">
        <v>4992034166.8539906</v>
      </c>
    </row>
    <row r="208" spans="2:6">
      <c r="D208" s="15"/>
    </row>
    <row r="209" spans="2:4">
      <c r="B209" t="s">
        <v>717</v>
      </c>
      <c r="C209" s="7" t="s">
        <v>713</v>
      </c>
      <c r="D209" s="8" t="s">
        <v>714</v>
      </c>
    </row>
    <row r="210" spans="2:4">
      <c r="C210">
        <v>20</v>
      </c>
      <c r="D210" s="2">
        <v>9984068333.7079811</v>
      </c>
    </row>
    <row r="212" spans="2:4">
      <c r="B212" t="s">
        <v>753</v>
      </c>
      <c r="C212" t="s">
        <v>2</v>
      </c>
    </row>
    <row r="213" spans="2:4" ht="21">
      <c r="B213" s="116" t="s">
        <v>719</v>
      </c>
      <c r="C213" s="117">
        <v>313065067.35000002</v>
      </c>
    </row>
    <row r="214" spans="2:4" ht="21">
      <c r="B214" s="116" t="s">
        <v>720</v>
      </c>
      <c r="C214" s="117">
        <v>233835423</v>
      </c>
    </row>
    <row r="215" spans="2:4" ht="42">
      <c r="B215" s="116" t="s">
        <v>721</v>
      </c>
      <c r="C215" s="117">
        <v>277073695.13999999</v>
      </c>
    </row>
    <row r="216" spans="2:4" ht="31.5">
      <c r="B216" s="116" t="s">
        <v>722</v>
      </c>
      <c r="C216" s="117">
        <v>80500000</v>
      </c>
    </row>
    <row r="217" spans="2:4" ht="31.5">
      <c r="B217" s="116" t="s">
        <v>723</v>
      </c>
      <c r="C217" s="117">
        <v>378914203.93000001</v>
      </c>
    </row>
    <row r="218" spans="2:4">
      <c r="B218" s="116" t="s">
        <v>724</v>
      </c>
      <c r="C218" s="117">
        <v>200018049</v>
      </c>
    </row>
    <row r="219" spans="2:4" ht="31.5">
      <c r="B219" s="116" t="s">
        <v>725</v>
      </c>
      <c r="C219" s="117">
        <v>250578675</v>
      </c>
    </row>
    <row r="220" spans="2:4">
      <c r="B220" s="116" t="s">
        <v>726</v>
      </c>
      <c r="C220" s="117">
        <v>43987033.219999999</v>
      </c>
    </row>
    <row r="221" spans="2:4">
      <c r="B221" s="116" t="s">
        <v>727</v>
      </c>
      <c r="C221" s="117">
        <v>334464842.48000002</v>
      </c>
    </row>
    <row r="222" spans="2:4">
      <c r="B222" s="116" t="s">
        <v>728</v>
      </c>
      <c r="C222" s="117">
        <v>195138528.13999999</v>
      </c>
    </row>
    <row r="223" spans="2:4" ht="31.5">
      <c r="B223" s="116" t="s">
        <v>729</v>
      </c>
      <c r="C223" s="117">
        <v>87213045.383000001</v>
      </c>
    </row>
    <row r="224" spans="2:4" ht="31.5">
      <c r="B224" s="116" t="s">
        <v>729</v>
      </c>
      <c r="C224" s="117">
        <v>87213045.383000001</v>
      </c>
    </row>
    <row r="225" spans="2:3" ht="31.5">
      <c r="B225" s="116" t="s">
        <v>729</v>
      </c>
      <c r="C225" s="117">
        <v>87213045.383000001</v>
      </c>
    </row>
    <row r="226" spans="2:3" ht="31.5">
      <c r="B226" s="116" t="s">
        <v>729</v>
      </c>
      <c r="C226" s="117">
        <v>87213045.383000001</v>
      </c>
    </row>
    <row r="227" spans="2:3" ht="31.5">
      <c r="B227" s="116" t="s">
        <v>729</v>
      </c>
      <c r="C227" s="117">
        <v>87213045.383000001</v>
      </c>
    </row>
    <row r="228" spans="2:3" ht="31.5">
      <c r="B228" s="116" t="s">
        <v>729</v>
      </c>
      <c r="C228" s="117">
        <v>87213045.383000001</v>
      </c>
    </row>
    <row r="229" spans="2:3" ht="31.5">
      <c r="B229" s="116" t="s">
        <v>729</v>
      </c>
      <c r="C229" s="117">
        <v>87213045.383000001</v>
      </c>
    </row>
    <row r="230" spans="2:3" ht="31.5">
      <c r="B230" s="116" t="s">
        <v>729</v>
      </c>
      <c r="C230" s="117">
        <v>87213045.383000001</v>
      </c>
    </row>
    <row r="231" spans="2:3" ht="31.5">
      <c r="B231" s="116" t="s">
        <v>729</v>
      </c>
      <c r="C231" s="117">
        <v>87213045.383000001</v>
      </c>
    </row>
    <row r="232" spans="2:3" ht="31.5">
      <c r="B232" s="116" t="s">
        <v>729</v>
      </c>
      <c r="C232" s="117">
        <v>87213045.383000001</v>
      </c>
    </row>
    <row r="233" spans="2:3" ht="31.5">
      <c r="B233" s="116" t="s">
        <v>730</v>
      </c>
      <c r="C233" s="117">
        <v>31152065.954999998</v>
      </c>
    </row>
    <row r="234" spans="2:3" ht="31.5">
      <c r="B234" s="116" t="s">
        <v>730</v>
      </c>
      <c r="C234" s="117">
        <v>31152065.954999998</v>
      </c>
    </row>
    <row r="235" spans="2:3" ht="31.5">
      <c r="B235" s="116" t="s">
        <v>730</v>
      </c>
      <c r="C235" s="117">
        <v>31152065.954999998</v>
      </c>
    </row>
    <row r="236" spans="2:3" ht="31.5">
      <c r="B236" s="116" t="s">
        <v>730</v>
      </c>
      <c r="C236" s="117">
        <v>31152065.954999998</v>
      </c>
    </row>
    <row r="237" spans="2:3" ht="31.5">
      <c r="B237" s="116" t="s">
        <v>730</v>
      </c>
      <c r="C237" s="117">
        <v>31152065.954999998</v>
      </c>
    </row>
    <row r="238" spans="2:3" ht="31.5">
      <c r="B238" s="116" t="s">
        <v>730</v>
      </c>
      <c r="C238" s="117">
        <v>31152065.954999998</v>
      </c>
    </row>
    <row r="239" spans="2:3" ht="21">
      <c r="B239" s="116" t="s">
        <v>731</v>
      </c>
      <c r="C239" s="117">
        <v>123653166.56999999</v>
      </c>
    </row>
    <row r="240" spans="2:3" ht="21">
      <c r="B240" s="116" t="s">
        <v>732</v>
      </c>
      <c r="C240" s="117">
        <v>245354399.18000001</v>
      </c>
    </row>
    <row r="241" spans="2:3" ht="21">
      <c r="B241" s="116" t="s">
        <v>733</v>
      </c>
      <c r="C241" s="117">
        <v>130000000</v>
      </c>
    </row>
    <row r="242" spans="2:3">
      <c r="B242" s="116" t="s">
        <v>734</v>
      </c>
      <c r="C242" s="117">
        <v>450303000</v>
      </c>
    </row>
    <row r="243" spans="2:3" ht="31.5">
      <c r="B243" s="116" t="s">
        <v>735</v>
      </c>
      <c r="C243" s="117">
        <v>100000000</v>
      </c>
    </row>
    <row r="244" spans="2:3" ht="21">
      <c r="B244" s="116" t="s">
        <v>736</v>
      </c>
      <c r="C244" s="117">
        <v>1189989975.53</v>
      </c>
    </row>
    <row r="245" spans="2:3">
      <c r="B245" s="116" t="s">
        <v>737</v>
      </c>
      <c r="C245" s="117">
        <v>139769813.34</v>
      </c>
    </row>
    <row r="246" spans="2:3">
      <c r="B246" s="116" t="s">
        <v>738</v>
      </c>
      <c r="C246" s="117">
        <v>264439184.33000001</v>
      </c>
    </row>
    <row r="247" spans="2:3" ht="21">
      <c r="B247" s="116" t="s">
        <v>739</v>
      </c>
      <c r="C247" s="117">
        <v>214521087.96000001</v>
      </c>
    </row>
    <row r="248" spans="2:3">
      <c r="B248" s="116" t="s">
        <v>740</v>
      </c>
      <c r="C248" s="117">
        <v>396181893</v>
      </c>
    </row>
    <row r="249" spans="2:3">
      <c r="B249" s="116" t="s">
        <v>741</v>
      </c>
      <c r="C249" s="117">
        <v>64434622.329999998</v>
      </c>
    </row>
    <row r="250" spans="2:3" ht="42">
      <c r="B250" s="116" t="s">
        <v>742</v>
      </c>
      <c r="C250" s="117">
        <v>687845182.14999998</v>
      </c>
    </row>
    <row r="251" spans="2:3" ht="21">
      <c r="B251" s="116" t="s">
        <v>743</v>
      </c>
      <c r="C251" s="117">
        <v>129060308.89</v>
      </c>
    </row>
    <row r="252" spans="2:3" ht="31.5">
      <c r="B252" s="116" t="s">
        <v>744</v>
      </c>
      <c r="C252" s="117">
        <v>53798355.939999998</v>
      </c>
    </row>
    <row r="253" spans="2:3" ht="21">
      <c r="B253" s="116" t="s">
        <v>745</v>
      </c>
      <c r="C253" s="117">
        <v>59966657.729999997</v>
      </c>
    </row>
    <row r="254" spans="2:3" ht="21">
      <c r="B254" s="116" t="s">
        <v>746</v>
      </c>
      <c r="C254" s="117">
        <v>16359000</v>
      </c>
    </row>
    <row r="255" spans="2:3">
      <c r="B255" s="116" t="s">
        <v>747</v>
      </c>
      <c r="C255" s="117">
        <v>73194225</v>
      </c>
    </row>
    <row r="256" spans="2:3">
      <c r="B256" s="116" t="s">
        <v>747</v>
      </c>
      <c r="C256" s="117">
        <v>73194225</v>
      </c>
    </row>
    <row r="257" spans="2:7" ht="42">
      <c r="B257" s="116" t="s">
        <v>748</v>
      </c>
      <c r="C257" s="117">
        <v>117229209</v>
      </c>
    </row>
    <row r="258" spans="2:7" ht="52.5">
      <c r="B258" s="116" t="s">
        <v>749</v>
      </c>
      <c r="C258" s="117">
        <v>113160000</v>
      </c>
    </row>
    <row r="259" spans="2:7" ht="31.5">
      <c r="B259" s="116" t="s">
        <v>750</v>
      </c>
      <c r="C259" s="117">
        <v>67241103.060000002</v>
      </c>
    </row>
    <row r="260" spans="2:7" ht="31.5">
      <c r="B260" s="116" t="s">
        <v>751</v>
      </c>
      <c r="C260" s="117">
        <v>208089114.88999999</v>
      </c>
    </row>
    <row r="261" spans="2:7" ht="21">
      <c r="B261" s="116" t="s">
        <v>752</v>
      </c>
      <c r="C261" s="117">
        <v>10909143.58</v>
      </c>
    </row>
    <row r="262" spans="2:7">
      <c r="B262" s="130" t="s">
        <v>35</v>
      </c>
      <c r="C262" s="51">
        <f>SUM(C213:C261)</f>
        <v>8295312034.2999983</v>
      </c>
    </row>
    <row r="264" spans="2:7">
      <c r="B264" s="131" t="s">
        <v>40</v>
      </c>
      <c r="C264" s="133" t="s">
        <v>760</v>
      </c>
    </row>
    <row r="265" spans="2:7">
      <c r="C265" s="132">
        <v>905</v>
      </c>
    </row>
    <row r="267" spans="2:7">
      <c r="B267" t="s">
        <v>755</v>
      </c>
      <c r="C267" t="s">
        <v>297</v>
      </c>
      <c r="D267" t="s">
        <v>756</v>
      </c>
      <c r="E267" t="s">
        <v>758</v>
      </c>
    </row>
    <row r="268" spans="2:7" ht="29">
      <c r="B268" s="1" t="s">
        <v>754</v>
      </c>
      <c r="C268">
        <v>54</v>
      </c>
      <c r="D268" s="134">
        <v>17373960903.450005</v>
      </c>
      <c r="E268" s="134">
        <v>263.69</v>
      </c>
      <c r="F268" s="134"/>
      <c r="G268" s="134"/>
    </row>
    <row r="269" spans="2:7">
      <c r="B269" s="1" t="s">
        <v>757</v>
      </c>
      <c r="C269">
        <v>2</v>
      </c>
      <c r="D269" s="135">
        <f>C197+C198</f>
        <v>6728714533.0799999</v>
      </c>
      <c r="E269" s="135">
        <f>D198+D197</f>
        <v>12.5</v>
      </c>
    </row>
    <row r="270" spans="2:7">
      <c r="B270" s="1" t="s">
        <v>761</v>
      </c>
      <c r="C270">
        <f>C268-C269</f>
        <v>52</v>
      </c>
      <c r="D270" s="135">
        <f>D268-D269</f>
        <v>10645246370.370005</v>
      </c>
      <c r="E270" s="135">
        <f>E268-E269</f>
        <v>251.19</v>
      </c>
    </row>
    <row r="271" spans="2:7" ht="29">
      <c r="B271" s="1" t="s">
        <v>759</v>
      </c>
      <c r="D271" s="135"/>
      <c r="E271" s="135">
        <f>69.9+199.7</f>
        <v>269.60000000000002</v>
      </c>
    </row>
    <row r="272" spans="2:7" ht="43.5">
      <c r="B272" s="1" t="s">
        <v>775</v>
      </c>
      <c r="D272" s="135"/>
      <c r="E272" s="135">
        <f>C282</f>
        <v>734</v>
      </c>
    </row>
    <row r="274" spans="2:3">
      <c r="B274" t="s">
        <v>764</v>
      </c>
      <c r="C274" t="s">
        <v>4</v>
      </c>
    </row>
    <row r="275" spans="2:3">
      <c r="B275" t="s">
        <v>762</v>
      </c>
      <c r="C275">
        <v>905</v>
      </c>
    </row>
    <row r="276" spans="2:3">
      <c r="B276" t="s">
        <v>763</v>
      </c>
      <c r="C276" s="15">
        <f>E271</f>
        <v>269.60000000000002</v>
      </c>
    </row>
    <row r="277" spans="2:3">
      <c r="B277" t="s">
        <v>767</v>
      </c>
      <c r="C277" s="15">
        <f>E270</f>
        <v>251.19</v>
      </c>
    </row>
    <row r="278" spans="2:3">
      <c r="B278" t="s">
        <v>52</v>
      </c>
      <c r="C278" s="15">
        <f>C275-C276-C277</f>
        <v>384.21</v>
      </c>
    </row>
    <row r="280" spans="2:3">
      <c r="B280" t="s">
        <v>765</v>
      </c>
      <c r="C280" t="s">
        <v>106</v>
      </c>
    </row>
    <row r="281" spans="2:3">
      <c r="B281" t="s">
        <v>766</v>
      </c>
      <c r="C281" s="41">
        <f>D5</f>
        <v>3189</v>
      </c>
    </row>
    <row r="282" spans="2:3" ht="43.5">
      <c r="B282" s="21" t="s">
        <v>774</v>
      </c>
      <c r="C282" s="15">
        <f>607+127</f>
        <v>734</v>
      </c>
    </row>
    <row r="283" spans="2:3" ht="43.5">
      <c r="B283" s="22" t="s">
        <v>770</v>
      </c>
      <c r="C283">
        <v>600</v>
      </c>
    </row>
    <row r="284" spans="2:3">
      <c r="B284" s="5" t="s">
        <v>771</v>
      </c>
      <c r="C284" s="15">
        <f>C281-C282</f>
        <v>2455</v>
      </c>
    </row>
    <row r="285" spans="2:3">
      <c r="B285" t="s">
        <v>772</v>
      </c>
      <c r="C285" s="32">
        <f>(C283+C282)/C281</f>
        <v>0.41831295076826591</v>
      </c>
    </row>
    <row r="287" spans="2:3">
      <c r="B287" t="s">
        <v>768</v>
      </c>
      <c r="C287" t="s">
        <v>769</v>
      </c>
    </row>
    <row r="288" spans="2:3">
      <c r="C288">
        <v>684</v>
      </c>
    </row>
    <row r="289" spans="2:6">
      <c r="B289" t="s">
        <v>773</v>
      </c>
      <c r="C289" s="32">
        <f>C288/D5</f>
        <v>0.21448730009407338</v>
      </c>
    </row>
    <row r="291" spans="2:6">
      <c r="B291" t="s">
        <v>781</v>
      </c>
      <c r="C291" t="s">
        <v>776</v>
      </c>
      <c r="D291" t="s">
        <v>777</v>
      </c>
      <c r="E291" t="s">
        <v>52</v>
      </c>
      <c r="F291" t="s">
        <v>783</v>
      </c>
    </row>
    <row r="292" spans="2:6">
      <c r="B292" t="s">
        <v>780</v>
      </c>
      <c r="C292">
        <f>Tabela89[km linii]</f>
        <v>45</v>
      </c>
      <c r="D292">
        <f>Tabela89[koszt jednostkowy budowy 1 km linii w mln zł]</f>
        <v>25</v>
      </c>
      <c r="E292" s="2">
        <f>D292*C292</f>
        <v>1125</v>
      </c>
      <c r="F292" s="15"/>
    </row>
    <row r="293" spans="2:6">
      <c r="B293" t="s">
        <v>778</v>
      </c>
      <c r="C293" s="15">
        <f>C278</f>
        <v>384.21</v>
      </c>
      <c r="D293">
        <f>D292</f>
        <v>25</v>
      </c>
      <c r="E293" s="2">
        <f>D293*C293</f>
        <v>9605.25</v>
      </c>
      <c r="F293" s="15">
        <f>Tabela97[[#This Row],[razem]]+E292</f>
        <v>10730.25</v>
      </c>
    </row>
    <row r="294" spans="2:6">
      <c r="B294" t="s">
        <v>779</v>
      </c>
      <c r="C294" s="15">
        <f>C284+Tabela89[liczba taboru]</f>
        <v>2525</v>
      </c>
      <c r="D294">
        <f>Tabela89[koszt jednostkowy taboru w mln zł]</f>
        <v>9</v>
      </c>
      <c r="E294" s="2">
        <f>D294*C294</f>
        <v>22725</v>
      </c>
      <c r="F294" s="15"/>
    </row>
    <row r="295" spans="2:6">
      <c r="E295" s="2">
        <f>SUM(E292:E294)</f>
        <v>33455.25</v>
      </c>
      <c r="F295" s="15"/>
    </row>
    <row r="297" spans="2:6">
      <c r="B297" t="s">
        <v>693</v>
      </c>
      <c r="C297" t="s">
        <v>114</v>
      </c>
    </row>
    <row r="298" spans="2:6">
      <c r="B298" t="s">
        <v>694</v>
      </c>
      <c r="C298" s="2">
        <f>E63</f>
        <v>4268.5320000000002</v>
      </c>
    </row>
    <row r="299" spans="2:6">
      <c r="B299" t="s">
        <v>259</v>
      </c>
      <c r="C299" s="2">
        <f>C141</f>
        <v>4026.5478415183329</v>
      </c>
    </row>
    <row r="300" spans="2:6">
      <c r="B300" t="s">
        <v>695</v>
      </c>
      <c r="C300" s="2">
        <f>C160+D160</f>
        <v>970.63705829348442</v>
      </c>
    </row>
    <row r="301" spans="2:6">
      <c r="B301" t="s">
        <v>696</v>
      </c>
      <c r="C301" s="2">
        <f>E295</f>
        <v>33455.25</v>
      </c>
    </row>
    <row r="302" spans="2:6">
      <c r="B302" t="s">
        <v>697</v>
      </c>
      <c r="C302" s="2">
        <f>(D207+D205+Tabela92[koszt szacunkowy])/1000000</f>
        <v>20916.623159118222</v>
      </c>
    </row>
    <row r="303" spans="2:6">
      <c r="B303" t="s">
        <v>52</v>
      </c>
      <c r="C303" s="2">
        <f>SUM(C298:C302)</f>
        <v>63637.590058930036</v>
      </c>
    </row>
  </sheetData>
  <hyperlinks>
    <hyperlink ref="B120" r:id="rId1" xr:uid="{1EE819D2-D11E-4CBB-A12D-C4315ACAD589}"/>
    <hyperlink ref="B121" r:id="rId2" xr:uid="{EE8F8F32-EE57-42AA-833D-04AF75F63D44}"/>
    <hyperlink ref="B122" r:id="rId3" xr:uid="{106BB925-0BAC-4D3B-8BE1-BC8D498E1353}"/>
    <hyperlink ref="B123" r:id="rId4" xr:uid="{312A77A7-8D2F-4360-980F-EF15A26350E7}"/>
    <hyperlink ref="B287" r:id="rId5" xr:uid="{CB02985E-B8F9-40C1-A1CF-0FBA128609C7}"/>
  </hyperlinks>
  <pageMargins left="0.7" right="0.7" top="0.75" bottom="0.75" header="0.3" footer="0.3"/>
  <tableParts count="23">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 r:id="rId26"/>
    <tablePart r:id="rId27"/>
    <tablePart r:id="rId28"/>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CFE4C5-7360-49E1-BA02-B07D7651B2A0}">
  <dimension ref="B2:F16"/>
  <sheetViews>
    <sheetView topLeftCell="B1" workbookViewId="0">
      <selection activeCell="C21" sqref="C21"/>
    </sheetView>
  </sheetViews>
  <sheetFormatPr defaultRowHeight="14.5"/>
  <cols>
    <col min="2" max="2" width="26.36328125" bestFit="1" customWidth="1"/>
    <col min="3" max="3" width="11.26953125" customWidth="1"/>
    <col min="4" max="4" width="34.54296875" bestFit="1" customWidth="1"/>
    <col min="5" max="5" width="29.26953125" hidden="1" customWidth="1"/>
    <col min="6" max="6" width="35.36328125" bestFit="1" customWidth="1"/>
  </cols>
  <sheetData>
    <row r="2" spans="2:6">
      <c r="B2" t="s">
        <v>120</v>
      </c>
      <c r="C2" t="s">
        <v>121</v>
      </c>
      <c r="D2" t="s">
        <v>123</v>
      </c>
      <c r="E2" t="s">
        <v>125</v>
      </c>
      <c r="F2" t="s">
        <v>124</v>
      </c>
    </row>
    <row r="3" spans="2:6">
      <c r="B3" t="s">
        <v>122</v>
      </c>
      <c r="C3" t="s">
        <v>114</v>
      </c>
      <c r="D3" s="12">
        <f>'Autostrady!'!D159</f>
        <v>139831.849504813</v>
      </c>
      <c r="E3" s="12">
        <f>'Autostrady!'!D160</f>
        <v>96820.614780679985</v>
      </c>
      <c r="F3" s="12">
        <f>'Autostrady!'!D161</f>
        <v>43011.234724133014</v>
      </c>
    </row>
    <row r="4" spans="2:6">
      <c r="B4" t="s">
        <v>165</v>
      </c>
      <c r="C4" t="s">
        <v>114</v>
      </c>
      <c r="D4" s="12">
        <f>'Drogi krajowe'!D153</f>
        <v>102409</v>
      </c>
      <c r="E4" s="12">
        <f>'Drogi krajowe'!D152</f>
        <v>41494.549191719991</v>
      </c>
      <c r="F4" s="12">
        <f>'Drogi krajowe'!D154</f>
        <v>60914.450808280009</v>
      </c>
    </row>
    <row r="5" spans="2:6">
      <c r="B5" t="s">
        <v>784</v>
      </c>
      <c r="C5" t="s">
        <v>114</v>
      </c>
      <c r="D5" s="12">
        <f>Tabela27[wartość]/1000000</f>
        <v>36900.110981699996</v>
      </c>
      <c r="E5" s="12">
        <f>'Autostrady!'!D161</f>
        <v>43011.234724133014</v>
      </c>
      <c r="F5" s="12">
        <f>'Autostrady!'!D162</f>
        <v>0</v>
      </c>
    </row>
    <row r="6" spans="2:6">
      <c r="B6" t="s">
        <v>256</v>
      </c>
      <c r="C6" t="s">
        <v>114</v>
      </c>
      <c r="D6" s="12">
        <f>Tabela43[razem]/1000000</f>
        <v>155651.0798980892</v>
      </c>
      <c r="E6" s="12">
        <f>Tabela41[Budżet FDS]/1000000</f>
        <v>45270</v>
      </c>
      <c r="F6" s="12">
        <f>Tabela43[razem]/1000000</f>
        <v>155651.0798980892</v>
      </c>
    </row>
    <row r="7" spans="2:6">
      <c r="B7" t="s">
        <v>259</v>
      </c>
      <c r="C7" t="s">
        <v>114</v>
      </c>
      <c r="D7" s="12">
        <f>Tabela47[[#Totals],[wartość za 1 km]]</f>
        <v>3243.6818181818185</v>
      </c>
      <c r="E7" s="12">
        <f>'Autostrady!'!D163</f>
        <v>0</v>
      </c>
      <c r="F7" s="12">
        <f>Tabela47[[#Totals],[wartość za 1 km]]</f>
        <v>3243.6818181818185</v>
      </c>
    </row>
    <row r="8" spans="2:6">
      <c r="B8" t="s">
        <v>359</v>
      </c>
      <c r="C8" t="s">
        <v>114</v>
      </c>
      <c r="D8" s="12">
        <f>'Linie kolejowe'!D95</f>
        <v>165161.42697703608</v>
      </c>
      <c r="E8" s="12">
        <f>'Linie kolejowe'!D94</f>
        <v>75697</v>
      </c>
      <c r="F8" s="12">
        <f>'Linie kolejowe'!D96</f>
        <v>89464.426977036084</v>
      </c>
    </row>
    <row r="9" spans="2:6">
      <c r="B9" t="s">
        <v>435</v>
      </c>
      <c r="C9" t="s">
        <v>114</v>
      </c>
      <c r="D9" s="12">
        <f>Intermodal!D77+Tabela63[wartość łączna]</f>
        <v>3139.0192875589855</v>
      </c>
      <c r="E9" s="12">
        <f>'Autostrady!'!D165</f>
        <v>0</v>
      </c>
      <c r="F9" s="12">
        <f>Intermodal!D77+Tabela63[wartość łączna]</f>
        <v>3139.0192875589855</v>
      </c>
    </row>
    <row r="10" spans="2:6">
      <c r="B10" t="s">
        <v>490</v>
      </c>
      <c r="C10" t="s">
        <v>114</v>
      </c>
      <c r="D10" s="12">
        <f>'Tabor pasażerski'!G46/1000000</f>
        <v>45988.553530001329</v>
      </c>
      <c r="E10" s="12">
        <f>'Autostrady!'!D166</f>
        <v>0</v>
      </c>
      <c r="F10" s="12">
        <f>'Tabor pasażerski'!G46/1000000</f>
        <v>45988.553530001329</v>
      </c>
    </row>
    <row r="11" spans="2:6">
      <c r="B11" t="s">
        <v>529</v>
      </c>
      <c r="C11" t="s">
        <v>114</v>
      </c>
      <c r="D11" s="12">
        <f>Tabela70[[#Totals],[razem modernizacja (mln zł)]]+Tabela70[[#Totals],[razem zakup (mln zł)]]</f>
        <v>21960.956125000001</v>
      </c>
      <c r="E11" s="12">
        <f>'Autostrady!'!D167</f>
        <v>0</v>
      </c>
      <c r="F11" s="12">
        <f>Tabela70[[#Totals],[razem modernizacja (mln zł)]]+Tabela70[[#Totals],[razem zakup (mln zł)]]</f>
        <v>21960.956125000001</v>
      </c>
    </row>
    <row r="12" spans="2:6">
      <c r="B12" t="s">
        <v>543</v>
      </c>
      <c r="C12" t="s">
        <v>114</v>
      </c>
      <c r="D12" s="12">
        <f>Lotniska!C15</f>
        <v>20107</v>
      </c>
      <c r="E12" s="12">
        <f>'Autostrady!'!D168</f>
        <v>0</v>
      </c>
      <c r="F12" s="12">
        <f>Lotniska!C15</f>
        <v>20107</v>
      </c>
    </row>
    <row r="13" spans="2:6">
      <c r="B13" t="s">
        <v>558</v>
      </c>
      <c r="C13" t="s">
        <v>114</v>
      </c>
      <c r="D13" s="12">
        <f>'Porty morskie'!C10</f>
        <v>53165.476999999999</v>
      </c>
      <c r="E13" s="12">
        <f>'Porty morskie'!C8+'Porty morskie'!C9</f>
        <v>1677.9770000000001</v>
      </c>
      <c r="F13" s="12">
        <f>'Porty morskie'!D10</f>
        <v>51487.5</v>
      </c>
    </row>
    <row r="14" spans="2:6">
      <c r="B14" t="s">
        <v>559</v>
      </c>
      <c r="C14" t="s">
        <v>114</v>
      </c>
      <c r="D14" s="12">
        <f>'Żegluga śródlądowa'!C14</f>
        <v>67100</v>
      </c>
      <c r="E14" s="12">
        <f>'Autostrady!'!D170</f>
        <v>0</v>
      </c>
      <c r="F14" s="12">
        <f>'Żegluga śródlądowa'!C14</f>
        <v>67100</v>
      </c>
    </row>
    <row r="15" spans="2:6">
      <c r="B15" t="s">
        <v>570</v>
      </c>
      <c r="C15" t="s">
        <v>114</v>
      </c>
      <c r="D15" s="12">
        <f>'Transport publiczny'!C303</f>
        <v>63637.590058930036</v>
      </c>
      <c r="E15" s="12">
        <f>'Autostrady!'!D171</f>
        <v>0</v>
      </c>
      <c r="F15" s="12">
        <f>'Transport publiczny'!C303</f>
        <v>63637.590058930036</v>
      </c>
    </row>
    <row r="16" spans="2:6">
      <c r="B16" t="s">
        <v>52</v>
      </c>
      <c r="C16" t="s">
        <v>114</v>
      </c>
      <c r="D16" s="12">
        <f>SUM(D3:D15)</f>
        <v>878295.74518131034</v>
      </c>
      <c r="E16" s="12">
        <f>'Autostrady!'!D172</f>
        <v>0</v>
      </c>
      <c r="F16" s="12">
        <f>SUM(F3:F15)</f>
        <v>625705.49322721036</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BF1AB9-FF22-4DFD-A652-0E3D99DAB564}">
  <dimension ref="B1:Q174"/>
  <sheetViews>
    <sheetView topLeftCell="A46" zoomScale="70" zoomScaleNormal="70" workbookViewId="0">
      <selection activeCell="F8" sqref="F8"/>
    </sheetView>
  </sheetViews>
  <sheetFormatPr defaultRowHeight="14.5"/>
  <cols>
    <col min="2" max="2" width="22.54296875" customWidth="1"/>
    <col min="3" max="3" width="20.81640625" customWidth="1"/>
    <col min="4" max="4" width="25.81640625" customWidth="1"/>
    <col min="5" max="5" width="21.7265625" customWidth="1"/>
    <col min="6" max="6" width="20.90625" bestFit="1" customWidth="1"/>
    <col min="7" max="7" width="12.90625" bestFit="1" customWidth="1"/>
    <col min="8" max="9" width="14.08984375" bestFit="1" customWidth="1"/>
    <col min="10" max="10" width="14.54296875" bestFit="1" customWidth="1"/>
    <col min="11" max="16" width="14.08984375" bestFit="1" customWidth="1"/>
    <col min="17" max="17" width="15.81640625" bestFit="1" customWidth="1"/>
  </cols>
  <sheetData>
    <row r="1" spans="2:17">
      <c r="B1" s="1" t="s">
        <v>33</v>
      </c>
      <c r="C1" t="s">
        <v>34</v>
      </c>
      <c r="D1" t="s">
        <v>2</v>
      </c>
      <c r="F1" t="s">
        <v>785</v>
      </c>
      <c r="G1" s="9" t="s">
        <v>42</v>
      </c>
      <c r="H1" s="9" t="s">
        <v>43</v>
      </c>
      <c r="I1" s="9" t="s">
        <v>44</v>
      </c>
      <c r="J1" s="9" t="s">
        <v>45</v>
      </c>
      <c r="K1" s="9" t="s">
        <v>46</v>
      </c>
      <c r="L1" s="9" t="s">
        <v>47</v>
      </c>
      <c r="M1" s="9" t="s">
        <v>48</v>
      </c>
      <c r="N1" s="9" t="s">
        <v>49</v>
      </c>
      <c r="O1" s="9" t="s">
        <v>50</v>
      </c>
      <c r="P1" s="9" t="s">
        <v>51</v>
      </c>
      <c r="Q1" s="9" t="s">
        <v>52</v>
      </c>
    </row>
    <row r="2" spans="2:17">
      <c r="B2" t="s">
        <v>3</v>
      </c>
      <c r="C2" t="s">
        <v>34</v>
      </c>
      <c r="D2" s="2">
        <v>11351727</v>
      </c>
      <c r="F2" s="140" t="s">
        <v>791</v>
      </c>
      <c r="G2" s="12">
        <v>2828372.56</v>
      </c>
      <c r="H2" s="12">
        <v>2852217.3</v>
      </c>
      <c r="I2" s="12">
        <v>2948507</v>
      </c>
      <c r="J2" s="12">
        <v>4314691</v>
      </c>
      <c r="K2" s="12">
        <v>5300000</v>
      </c>
      <c r="L2" s="12">
        <v>5475000</v>
      </c>
      <c r="M2" s="12">
        <v>5565000</v>
      </c>
      <c r="N2" s="12">
        <v>5672000</v>
      </c>
      <c r="O2" s="12">
        <v>5862500</v>
      </c>
      <c r="P2" s="12">
        <v>5949138.1399999997</v>
      </c>
      <c r="Q2" s="12">
        <f>SUM(Tabela416[[#This Row],[2014]:[2023]])</f>
        <v>46767426</v>
      </c>
    </row>
    <row r="3" spans="2:17">
      <c r="B3" t="s">
        <v>5</v>
      </c>
      <c r="C3" t="s">
        <v>34</v>
      </c>
      <c r="D3" s="2">
        <v>7101859</v>
      </c>
      <c r="F3" s="138" t="s">
        <v>792</v>
      </c>
      <c r="G3" s="12">
        <v>608087.29</v>
      </c>
      <c r="H3" s="12">
        <v>5692972.2199999997</v>
      </c>
      <c r="I3" s="12">
        <v>11312022.199999999</v>
      </c>
      <c r="J3" s="12">
        <v>13941844.09</v>
      </c>
      <c r="K3" s="12">
        <v>16423475.07</v>
      </c>
      <c r="L3" s="12">
        <v>18067065.98</v>
      </c>
      <c r="M3" s="12">
        <v>17026309.120000001</v>
      </c>
      <c r="N3" s="12">
        <v>17253802.899999999</v>
      </c>
      <c r="O3" s="12">
        <v>15206168.6</v>
      </c>
      <c r="P3" s="12">
        <v>26632079.48</v>
      </c>
      <c r="Q3" s="12">
        <f>SUM(Tabela416[[#This Row],[2014]:[2023]])-0.02</f>
        <v>142163826.92999998</v>
      </c>
    </row>
    <row r="4" spans="2:17">
      <c r="B4" t="s">
        <v>6</v>
      </c>
      <c r="C4" t="s">
        <v>34</v>
      </c>
      <c r="D4" s="2">
        <v>10578820</v>
      </c>
      <c r="F4" s="138" t="s">
        <v>793</v>
      </c>
      <c r="G4" s="12">
        <v>5968999.54</v>
      </c>
      <c r="H4" s="12">
        <v>2942977.84</v>
      </c>
      <c r="I4" s="12">
        <v>1470883.7</v>
      </c>
      <c r="J4" s="12">
        <v>746204.4</v>
      </c>
      <c r="K4" s="12">
        <v>568998.6</v>
      </c>
      <c r="L4" s="12">
        <v>944189.9</v>
      </c>
      <c r="M4" s="12">
        <v>936580</v>
      </c>
      <c r="N4" s="12">
        <v>894566.02</v>
      </c>
      <c r="O4" s="12">
        <v>0</v>
      </c>
      <c r="P4" s="12">
        <v>0</v>
      </c>
      <c r="Q4" s="12">
        <f>SUM(Tabela416[[#This Row],[2014]:[2023]])</f>
        <v>14473399.999999998</v>
      </c>
    </row>
    <row r="5" spans="2:17">
      <c r="B5" t="s">
        <v>7</v>
      </c>
      <c r="C5" t="s">
        <v>34</v>
      </c>
      <c r="D5" s="2">
        <v>5748769</v>
      </c>
      <c r="F5" s="138" t="s">
        <v>794</v>
      </c>
      <c r="G5" s="13">
        <f t="shared" ref="G5:P5" si="0">SUM(G2:G4)</f>
        <v>9405459.3900000006</v>
      </c>
      <c r="H5" s="13">
        <f t="shared" si="0"/>
        <v>11488167.359999999</v>
      </c>
      <c r="I5" s="13">
        <f t="shared" si="0"/>
        <v>15731412.899999999</v>
      </c>
      <c r="J5" s="13">
        <f t="shared" si="0"/>
        <v>19002739.489999998</v>
      </c>
      <c r="K5" s="13">
        <f t="shared" si="0"/>
        <v>22292473.670000002</v>
      </c>
      <c r="L5" s="13">
        <f t="shared" si="0"/>
        <v>24486255.879999999</v>
      </c>
      <c r="M5" s="13">
        <f t="shared" si="0"/>
        <v>23527889.120000001</v>
      </c>
      <c r="N5" s="13">
        <f t="shared" si="0"/>
        <v>23820368.919999998</v>
      </c>
      <c r="O5" s="13">
        <f t="shared" si="0"/>
        <v>21068668.600000001</v>
      </c>
      <c r="P5" s="13">
        <f t="shared" si="0"/>
        <v>32581217.620000001</v>
      </c>
      <c r="Q5" s="13">
        <f>SUM(Q2:Q4)</f>
        <v>203404652.92999998</v>
      </c>
    </row>
    <row r="6" spans="2:17" ht="58">
      <c r="B6" t="s">
        <v>8</v>
      </c>
      <c r="C6" t="s">
        <v>34</v>
      </c>
      <c r="D6" s="2">
        <v>82521653</v>
      </c>
      <c r="F6" s="138" t="s">
        <v>798</v>
      </c>
      <c r="P6" s="1" t="s">
        <v>118</v>
      </c>
      <c r="Q6" s="27">
        <f>Q3*70%</f>
        <v>99514678.850999981</v>
      </c>
    </row>
    <row r="7" spans="2:17" ht="29">
      <c r="B7" t="s">
        <v>9</v>
      </c>
      <c r="C7" t="s">
        <v>34</v>
      </c>
      <c r="D7" s="2">
        <v>1315635</v>
      </c>
      <c r="F7" t="s">
        <v>798</v>
      </c>
      <c r="P7" s="1" t="s">
        <v>145</v>
      </c>
      <c r="Q7" s="27">
        <f>Q3-Q6</f>
        <v>42649148.078999996</v>
      </c>
    </row>
    <row r="8" spans="2:17">
      <c r="B8" t="s">
        <v>10</v>
      </c>
      <c r="C8" t="s">
        <v>34</v>
      </c>
      <c r="D8" s="2">
        <v>4784383</v>
      </c>
    </row>
    <row r="9" spans="2:17">
      <c r="B9" t="s">
        <v>11</v>
      </c>
      <c r="C9" t="s">
        <v>34</v>
      </c>
      <c r="D9" s="2">
        <v>10768193</v>
      </c>
      <c r="F9" t="s">
        <v>786</v>
      </c>
      <c r="G9" s="9" t="s">
        <v>42</v>
      </c>
      <c r="H9" s="9" t="s">
        <v>43</v>
      </c>
      <c r="I9" s="9" t="s">
        <v>44</v>
      </c>
      <c r="J9" s="9" t="s">
        <v>45</v>
      </c>
      <c r="K9" s="9" t="s">
        <v>46</v>
      </c>
      <c r="L9" s="9" t="s">
        <v>47</v>
      </c>
      <c r="M9" s="9" t="s">
        <v>48</v>
      </c>
      <c r="N9" s="9" t="s">
        <v>49</v>
      </c>
      <c r="O9" s="9" t="s">
        <v>50</v>
      </c>
      <c r="P9" s="9" t="s">
        <v>51</v>
      </c>
      <c r="Q9" s="9" t="s">
        <v>52</v>
      </c>
    </row>
    <row r="10" spans="2:17">
      <c r="B10" t="s">
        <v>12</v>
      </c>
      <c r="C10" t="s">
        <v>34</v>
      </c>
      <c r="D10" s="2">
        <v>46528024</v>
      </c>
      <c r="F10" s="138" t="s">
        <v>795</v>
      </c>
      <c r="G10" s="13">
        <v>9405459.3900000006</v>
      </c>
      <c r="H10" s="13">
        <v>11488167.359999999</v>
      </c>
      <c r="I10" s="13">
        <v>15731412.899999999</v>
      </c>
      <c r="J10" s="13">
        <v>19002739.489999998</v>
      </c>
      <c r="K10" s="13">
        <v>22292473.670000002</v>
      </c>
      <c r="L10" s="13">
        <v>24486255.879999999</v>
      </c>
      <c r="M10" s="13">
        <v>23527889.120000001</v>
      </c>
      <c r="N10" s="13">
        <v>23820368.919999998</v>
      </c>
      <c r="O10" s="13">
        <v>21068668.600000001</v>
      </c>
      <c r="P10" s="13">
        <f>32581217.62-0.02</f>
        <v>32581217.600000001</v>
      </c>
      <c r="Q10" s="12">
        <f>SUM(Tabela41117[[#This Row],[2014]:[2023]])</f>
        <v>203404652.92999998</v>
      </c>
    </row>
    <row r="11" spans="2:17" ht="29">
      <c r="B11" t="s">
        <v>13</v>
      </c>
      <c r="C11" t="s">
        <v>34</v>
      </c>
      <c r="D11" s="2">
        <v>66804121</v>
      </c>
      <c r="F11" s="139" t="s">
        <v>796</v>
      </c>
      <c r="G11" s="12">
        <f>G10*32%</f>
        <v>3009747.0048000002</v>
      </c>
      <c r="H11" s="12">
        <f t="shared" ref="H11:P11" si="1">H10*32%</f>
        <v>3676213.5551999998</v>
      </c>
      <c r="I11" s="12">
        <f t="shared" si="1"/>
        <v>5034052.1279999996</v>
      </c>
      <c r="J11" s="12">
        <f t="shared" si="1"/>
        <v>6080876.6367999995</v>
      </c>
      <c r="K11" s="12">
        <f t="shared" si="1"/>
        <v>7133591.5744000003</v>
      </c>
      <c r="L11" s="12">
        <f t="shared" si="1"/>
        <v>7835601.8816</v>
      </c>
      <c r="M11" s="12">
        <f t="shared" si="1"/>
        <v>7528924.5184000004</v>
      </c>
      <c r="N11" s="12">
        <f t="shared" si="1"/>
        <v>7622518.0543999998</v>
      </c>
      <c r="O11" s="12">
        <f t="shared" si="1"/>
        <v>6741973.9520000005</v>
      </c>
      <c r="P11" s="12">
        <f t="shared" si="1"/>
        <v>10425989.632000001</v>
      </c>
      <c r="Q11" s="12">
        <f>SUM(Tabela41117[[#This Row],[2014]:[2023]])</f>
        <v>65089488.937599994</v>
      </c>
    </row>
    <row r="12" spans="2:17" ht="29">
      <c r="B12" t="s">
        <v>14</v>
      </c>
      <c r="C12" t="s">
        <v>34</v>
      </c>
      <c r="D12" s="2">
        <v>4154213</v>
      </c>
      <c r="F12" s="45" t="s">
        <v>797</v>
      </c>
      <c r="G12" s="12">
        <f>G10-G11</f>
        <v>6395712.3852000004</v>
      </c>
      <c r="H12" s="12">
        <f t="shared" ref="H12:P12" si="2">H10-H11</f>
        <v>7811953.8048</v>
      </c>
      <c r="I12" s="12">
        <f t="shared" si="2"/>
        <v>10697360.772</v>
      </c>
      <c r="J12" s="12">
        <f t="shared" si="2"/>
        <v>12921862.8532</v>
      </c>
      <c r="K12" s="12">
        <f t="shared" si="2"/>
        <v>15158882.095600002</v>
      </c>
      <c r="L12" s="12">
        <f t="shared" si="2"/>
        <v>16650653.998399999</v>
      </c>
      <c r="M12" s="12">
        <f t="shared" si="2"/>
        <v>15998964.601600001</v>
      </c>
      <c r="N12" s="12">
        <f t="shared" si="2"/>
        <v>16197850.865599997</v>
      </c>
      <c r="O12" s="12">
        <f t="shared" si="2"/>
        <v>14326694.648000002</v>
      </c>
      <c r="P12" s="12">
        <f t="shared" si="2"/>
        <v>22155227.968000002</v>
      </c>
      <c r="Q12" s="12">
        <f>SUM(Tabela41117[[#This Row],[2014]:[2023]])-0.02</f>
        <v>138315163.97239998</v>
      </c>
    </row>
    <row r="13" spans="2:17" ht="58">
      <c r="B13" t="s">
        <v>15</v>
      </c>
      <c r="C13" t="s">
        <v>34</v>
      </c>
      <c r="D13" s="2">
        <v>60589445</v>
      </c>
      <c r="F13" s="138" t="s">
        <v>798</v>
      </c>
      <c r="G13" s="12"/>
      <c r="H13" s="12"/>
      <c r="I13" s="12"/>
      <c r="J13" s="12"/>
      <c r="K13" s="12"/>
      <c r="L13" s="12"/>
      <c r="M13" s="12"/>
      <c r="N13" s="12"/>
      <c r="O13" s="12"/>
      <c r="P13" s="1" t="s">
        <v>118</v>
      </c>
      <c r="Q13" s="12">
        <f>Q12*70%</f>
        <v>96820614.780679986</v>
      </c>
    </row>
    <row r="14" spans="2:17" ht="29">
      <c r="B14" t="s">
        <v>16</v>
      </c>
      <c r="C14" t="s">
        <v>34</v>
      </c>
      <c r="D14" s="2">
        <v>854802</v>
      </c>
      <c r="F14" s="138" t="s">
        <v>798</v>
      </c>
      <c r="P14" s="1" t="s">
        <v>145</v>
      </c>
      <c r="Q14" s="12">
        <f>Q12-Q13</f>
        <v>41494549.191719994</v>
      </c>
    </row>
    <row r="15" spans="2:17">
      <c r="B15" t="s">
        <v>17</v>
      </c>
      <c r="C15" t="s">
        <v>34</v>
      </c>
      <c r="D15" s="2">
        <v>1950116</v>
      </c>
    </row>
    <row r="16" spans="2:17">
      <c r="B16" t="s">
        <v>18</v>
      </c>
      <c r="C16" t="s">
        <v>34</v>
      </c>
      <c r="D16" s="2">
        <v>2847904</v>
      </c>
    </row>
    <row r="17" spans="2:4">
      <c r="B17" t="s">
        <v>19</v>
      </c>
      <c r="C17" t="s">
        <v>34</v>
      </c>
      <c r="D17" s="2">
        <v>590667</v>
      </c>
    </row>
    <row r="18" spans="2:4">
      <c r="B18" t="s">
        <v>20</v>
      </c>
      <c r="C18" t="s">
        <v>34</v>
      </c>
      <c r="D18" s="2">
        <v>9797561</v>
      </c>
    </row>
    <row r="19" spans="2:4">
      <c r="B19" t="s">
        <v>21</v>
      </c>
      <c r="C19" t="s">
        <v>34</v>
      </c>
      <c r="D19" s="2">
        <v>460297</v>
      </c>
    </row>
    <row r="20" spans="2:4">
      <c r="B20" t="s">
        <v>22</v>
      </c>
      <c r="C20" t="s">
        <v>34</v>
      </c>
      <c r="D20" s="2">
        <v>17081507</v>
      </c>
    </row>
    <row r="21" spans="2:4">
      <c r="B21" t="s">
        <v>23</v>
      </c>
      <c r="C21" t="s">
        <v>34</v>
      </c>
      <c r="D21" s="2">
        <v>8772865</v>
      </c>
    </row>
    <row r="22" spans="2:4">
      <c r="B22" t="s">
        <v>24</v>
      </c>
      <c r="C22" t="s">
        <v>34</v>
      </c>
      <c r="D22" s="2">
        <v>37972964</v>
      </c>
    </row>
    <row r="23" spans="2:4">
      <c r="B23" t="s">
        <v>25</v>
      </c>
      <c r="C23" t="s">
        <v>34</v>
      </c>
      <c r="D23" s="2">
        <v>10309573</v>
      </c>
    </row>
    <row r="24" spans="2:4">
      <c r="B24" t="s">
        <v>26</v>
      </c>
      <c r="C24" t="s">
        <v>34</v>
      </c>
      <c r="D24" s="2">
        <v>19644350</v>
      </c>
    </row>
    <row r="25" spans="2:4">
      <c r="B25" t="s">
        <v>27</v>
      </c>
      <c r="C25" t="s">
        <v>34</v>
      </c>
      <c r="D25" s="2">
        <v>2065895</v>
      </c>
    </row>
    <row r="26" spans="2:4">
      <c r="B26" t="s">
        <v>28</v>
      </c>
      <c r="C26" t="s">
        <v>34</v>
      </c>
      <c r="D26" s="2">
        <v>5435343</v>
      </c>
    </row>
    <row r="27" spans="2:4">
      <c r="B27" t="s">
        <v>29</v>
      </c>
      <c r="C27" t="s">
        <v>34</v>
      </c>
      <c r="D27" s="2">
        <v>5503297</v>
      </c>
    </row>
    <row r="28" spans="2:4">
      <c r="B28" t="s">
        <v>30</v>
      </c>
      <c r="C28" t="s">
        <v>34</v>
      </c>
      <c r="D28" s="2">
        <v>9995153</v>
      </c>
    </row>
    <row r="29" spans="2:4">
      <c r="B29" t="s">
        <v>31</v>
      </c>
      <c r="C29" t="s">
        <v>34</v>
      </c>
      <c r="D29" s="2">
        <v>65844142</v>
      </c>
    </row>
    <row r="30" spans="2:4">
      <c r="B30" t="s">
        <v>35</v>
      </c>
      <c r="C30" t="s">
        <v>34</v>
      </c>
      <c r="D30" s="2">
        <f>SUM(D2:D29)</f>
        <v>511373278</v>
      </c>
    </row>
    <row r="32" spans="2:4" ht="29">
      <c r="B32" s="1" t="s">
        <v>36</v>
      </c>
      <c r="C32" t="s">
        <v>37</v>
      </c>
      <c r="D32" t="s">
        <v>38</v>
      </c>
    </row>
    <row r="33" spans="2:4" ht="16.5">
      <c r="B33" t="s">
        <v>3</v>
      </c>
      <c r="C33" t="s">
        <v>39</v>
      </c>
      <c r="D33" s="2">
        <v>30528</v>
      </c>
    </row>
    <row r="34" spans="2:4" ht="16.5">
      <c r="B34" t="s">
        <v>5</v>
      </c>
      <c r="C34" t="s">
        <v>39</v>
      </c>
      <c r="D34" s="2">
        <v>110370</v>
      </c>
    </row>
    <row r="35" spans="2:4" ht="16.5">
      <c r="B35" t="s">
        <v>6</v>
      </c>
      <c r="C35" t="s">
        <v>39</v>
      </c>
      <c r="D35" s="2">
        <v>78868</v>
      </c>
    </row>
    <row r="36" spans="2:4" ht="16.5">
      <c r="B36" t="s">
        <v>7</v>
      </c>
      <c r="C36" t="s">
        <v>39</v>
      </c>
      <c r="D36" s="2">
        <v>42924</v>
      </c>
    </row>
    <row r="37" spans="2:4" ht="16.5">
      <c r="B37" t="s">
        <v>8</v>
      </c>
      <c r="C37" t="s">
        <v>39</v>
      </c>
      <c r="D37" s="2">
        <v>357376</v>
      </c>
    </row>
    <row r="38" spans="2:4" ht="16.5">
      <c r="B38" t="s">
        <v>9</v>
      </c>
      <c r="C38" t="s">
        <v>39</v>
      </c>
      <c r="D38" s="2">
        <v>45227</v>
      </c>
    </row>
    <row r="39" spans="2:4" ht="16.5">
      <c r="B39" t="s">
        <v>10</v>
      </c>
      <c r="C39" t="s">
        <v>39</v>
      </c>
      <c r="D39" s="2">
        <v>69797</v>
      </c>
    </row>
    <row r="40" spans="2:4" ht="16.5">
      <c r="B40" t="s">
        <v>11</v>
      </c>
      <c r="C40" t="s">
        <v>39</v>
      </c>
      <c r="D40" s="2">
        <v>132049</v>
      </c>
    </row>
    <row r="41" spans="2:4" ht="16.5">
      <c r="B41" t="s">
        <v>12</v>
      </c>
      <c r="C41" t="s">
        <v>39</v>
      </c>
      <c r="D41" s="2">
        <v>505944</v>
      </c>
    </row>
    <row r="42" spans="2:4" ht="16.5">
      <c r="B42" t="s">
        <v>13</v>
      </c>
      <c r="C42" t="s">
        <v>39</v>
      </c>
      <c r="D42" s="2">
        <v>633186.6</v>
      </c>
    </row>
    <row r="43" spans="2:4" ht="16.5">
      <c r="B43" t="s">
        <v>14</v>
      </c>
      <c r="C43" t="s">
        <v>39</v>
      </c>
      <c r="D43" s="2">
        <v>56594</v>
      </c>
    </row>
    <row r="44" spans="2:4" ht="16.5">
      <c r="B44" t="s">
        <v>15</v>
      </c>
      <c r="C44" t="s">
        <v>39</v>
      </c>
      <c r="D44" s="2">
        <v>302073</v>
      </c>
    </row>
    <row r="45" spans="2:4" ht="16.5">
      <c r="B45" t="s">
        <v>16</v>
      </c>
      <c r="C45" t="s">
        <v>39</v>
      </c>
      <c r="D45" s="2">
        <v>9251</v>
      </c>
    </row>
    <row r="46" spans="2:4" ht="16.5">
      <c r="B46" t="s">
        <v>17</v>
      </c>
      <c r="C46" t="s">
        <v>39</v>
      </c>
      <c r="D46" s="2">
        <v>64573</v>
      </c>
    </row>
    <row r="47" spans="2:4" ht="16.5">
      <c r="B47" t="s">
        <v>18</v>
      </c>
      <c r="C47" t="s">
        <v>39</v>
      </c>
      <c r="D47" s="2">
        <v>65286</v>
      </c>
    </row>
    <row r="48" spans="2:4" ht="16.5">
      <c r="B48" t="s">
        <v>19</v>
      </c>
      <c r="C48" t="s">
        <v>39</v>
      </c>
      <c r="D48" s="2">
        <v>2586</v>
      </c>
    </row>
    <row r="49" spans="2:4" ht="16.5">
      <c r="B49" t="s">
        <v>20</v>
      </c>
      <c r="C49" t="s">
        <v>39</v>
      </c>
      <c r="D49" s="2">
        <v>93011</v>
      </c>
    </row>
    <row r="50" spans="2:4" ht="16.5">
      <c r="B50" t="s">
        <v>21</v>
      </c>
      <c r="C50" t="s">
        <v>39</v>
      </c>
      <c r="D50" s="2">
        <v>315.39999999999998</v>
      </c>
    </row>
    <row r="51" spans="2:4" ht="16.5">
      <c r="B51" t="s">
        <v>22</v>
      </c>
      <c r="C51" t="s">
        <v>39</v>
      </c>
      <c r="D51" s="2">
        <v>41540</v>
      </c>
    </row>
    <row r="52" spans="2:4" ht="16.5">
      <c r="B52" t="s">
        <v>23</v>
      </c>
      <c r="C52" t="s">
        <v>39</v>
      </c>
      <c r="D52" s="2">
        <v>83879</v>
      </c>
    </row>
    <row r="53" spans="2:4" ht="16.5">
      <c r="B53" t="s">
        <v>24</v>
      </c>
      <c r="C53" t="s">
        <v>39</v>
      </c>
      <c r="D53" s="2">
        <v>312679</v>
      </c>
    </row>
    <row r="54" spans="2:4" ht="16.5">
      <c r="B54" t="s">
        <v>25</v>
      </c>
      <c r="C54" t="s">
        <v>39</v>
      </c>
      <c r="D54" s="2">
        <v>92226</v>
      </c>
    </row>
    <row r="55" spans="2:4" ht="16.5">
      <c r="B55" t="s">
        <v>26</v>
      </c>
      <c r="C55" t="s">
        <v>39</v>
      </c>
      <c r="D55" s="2">
        <v>238390.7</v>
      </c>
    </row>
    <row r="56" spans="2:4" ht="16.5">
      <c r="B56" t="s">
        <v>27</v>
      </c>
      <c r="C56" t="s">
        <v>39</v>
      </c>
      <c r="D56" s="2">
        <v>20273</v>
      </c>
    </row>
    <row r="57" spans="2:4" ht="16.5">
      <c r="B57" t="s">
        <v>28</v>
      </c>
      <c r="C57" t="s">
        <v>39</v>
      </c>
      <c r="D57" s="2">
        <v>49035</v>
      </c>
    </row>
    <row r="58" spans="2:4" ht="16.5">
      <c r="B58" t="s">
        <v>29</v>
      </c>
      <c r="C58" t="s">
        <v>39</v>
      </c>
      <c r="D58" s="2">
        <v>338440</v>
      </c>
    </row>
    <row r="59" spans="2:4" ht="16.5">
      <c r="B59" t="s">
        <v>30</v>
      </c>
      <c r="C59" t="s">
        <v>39</v>
      </c>
      <c r="D59" s="2">
        <v>438574</v>
      </c>
    </row>
    <row r="60" spans="2:4" ht="16.5">
      <c r="B60" t="s">
        <v>31</v>
      </c>
      <c r="C60" t="s">
        <v>39</v>
      </c>
      <c r="D60" s="2">
        <v>248536</v>
      </c>
    </row>
    <row r="61" spans="2:4" ht="16.5">
      <c r="B61" t="s">
        <v>35</v>
      </c>
      <c r="C61" t="s">
        <v>39</v>
      </c>
      <c r="D61" s="2">
        <f>SUM(D33:D60)</f>
        <v>4463531.7</v>
      </c>
    </row>
    <row r="63" spans="2:4" ht="29">
      <c r="B63" s="1" t="s">
        <v>126</v>
      </c>
      <c r="C63" t="s">
        <v>4</v>
      </c>
      <c r="D63" t="s">
        <v>38</v>
      </c>
    </row>
    <row r="64" spans="2:4">
      <c r="B64" t="s">
        <v>3</v>
      </c>
      <c r="C64" t="s">
        <v>4</v>
      </c>
      <c r="D64" s="2" t="s">
        <v>127</v>
      </c>
    </row>
    <row r="65" spans="2:4">
      <c r="B65" t="s">
        <v>5</v>
      </c>
      <c r="C65" t="s">
        <v>4</v>
      </c>
      <c r="D65" s="2">
        <v>19127</v>
      </c>
    </row>
    <row r="66" spans="2:4">
      <c r="B66" t="s">
        <v>6</v>
      </c>
      <c r="C66" t="s">
        <v>4</v>
      </c>
      <c r="D66" s="2">
        <v>5825</v>
      </c>
    </row>
    <row r="67" spans="2:4">
      <c r="B67" t="s">
        <v>7</v>
      </c>
      <c r="C67" t="s">
        <v>4</v>
      </c>
      <c r="D67" s="2">
        <v>2602</v>
      </c>
    </row>
    <row r="68" spans="2:4">
      <c r="B68" t="s">
        <v>8</v>
      </c>
      <c r="C68" t="s">
        <v>4</v>
      </c>
      <c r="D68" s="2">
        <v>38018</v>
      </c>
    </row>
    <row r="69" spans="2:4">
      <c r="B69" t="s">
        <v>9</v>
      </c>
      <c r="C69" t="s">
        <v>4</v>
      </c>
      <c r="D69" s="2">
        <v>16605</v>
      </c>
    </row>
    <row r="70" spans="2:4">
      <c r="B70" t="s">
        <v>10</v>
      </c>
      <c r="C70" t="s">
        <v>4</v>
      </c>
      <c r="D70" s="2">
        <v>4390</v>
      </c>
    </row>
    <row r="71" spans="2:4">
      <c r="B71" t="s">
        <v>11</v>
      </c>
      <c r="C71" t="s">
        <v>4</v>
      </c>
      <c r="D71" s="2" t="s">
        <v>127</v>
      </c>
    </row>
    <row r="72" spans="2:4">
      <c r="B72" t="s">
        <v>12</v>
      </c>
      <c r="C72" t="s">
        <v>4</v>
      </c>
      <c r="D72" s="2">
        <v>14904</v>
      </c>
    </row>
    <row r="73" spans="2:4">
      <c r="B73" t="s">
        <v>13</v>
      </c>
      <c r="C73" t="s">
        <v>4</v>
      </c>
      <c r="D73" s="2">
        <v>9044</v>
      </c>
    </row>
    <row r="74" spans="2:4">
      <c r="B74" t="s">
        <v>14</v>
      </c>
      <c r="C74" t="s">
        <v>4</v>
      </c>
      <c r="D74" s="2">
        <v>6969</v>
      </c>
    </row>
    <row r="75" spans="2:4">
      <c r="B75" t="s">
        <v>15</v>
      </c>
      <c r="C75" t="s">
        <v>4</v>
      </c>
      <c r="D75" s="2" t="s">
        <v>127</v>
      </c>
    </row>
    <row r="76" spans="2:4">
      <c r="B76" t="s">
        <v>16</v>
      </c>
      <c r="C76" t="s">
        <v>4</v>
      </c>
      <c r="D76" s="2">
        <v>5441</v>
      </c>
    </row>
    <row r="77" spans="2:4">
      <c r="B77" t="s">
        <v>17</v>
      </c>
      <c r="C77" t="s">
        <v>4</v>
      </c>
      <c r="D77" s="2">
        <v>20047</v>
      </c>
    </row>
    <row r="78" spans="2:4">
      <c r="B78" t="s">
        <v>18</v>
      </c>
      <c r="C78" t="s">
        <v>4</v>
      </c>
      <c r="D78" s="2">
        <v>20927</v>
      </c>
    </row>
    <row r="79" spans="2:4">
      <c r="B79" t="s">
        <v>19</v>
      </c>
      <c r="C79" t="s">
        <v>4</v>
      </c>
      <c r="D79" s="2">
        <v>837</v>
      </c>
    </row>
    <row r="80" spans="2:4">
      <c r="B80" t="s">
        <v>20</v>
      </c>
      <c r="C80" t="s">
        <v>4</v>
      </c>
      <c r="D80" s="2">
        <v>30069</v>
      </c>
    </row>
    <row r="81" spans="2:4">
      <c r="B81" t="s">
        <v>21</v>
      </c>
      <c r="C81" t="s">
        <v>4</v>
      </c>
      <c r="D81" s="2" t="s">
        <v>127</v>
      </c>
    </row>
    <row r="82" spans="2:4">
      <c r="B82" t="s">
        <v>22</v>
      </c>
      <c r="C82" t="s">
        <v>4</v>
      </c>
      <c r="D82" s="2">
        <v>665</v>
      </c>
    </row>
    <row r="83" spans="2:4">
      <c r="B83" t="s">
        <v>23</v>
      </c>
      <c r="C83" t="s">
        <v>4</v>
      </c>
      <c r="D83" s="2">
        <v>2233</v>
      </c>
    </row>
    <row r="84" spans="2:4">
      <c r="B84" t="s">
        <v>24</v>
      </c>
      <c r="C84" t="s">
        <v>4</v>
      </c>
      <c r="D84" s="2">
        <v>19410</v>
      </c>
    </row>
    <row r="85" spans="2:4">
      <c r="B85" t="s">
        <v>25</v>
      </c>
      <c r="C85" t="s">
        <v>4</v>
      </c>
      <c r="D85" s="2" t="s">
        <v>127</v>
      </c>
    </row>
    <row r="86" spans="2:4">
      <c r="B86" t="s">
        <v>26</v>
      </c>
      <c r="C86" t="s">
        <v>4</v>
      </c>
      <c r="D86" s="2">
        <v>16891</v>
      </c>
    </row>
    <row r="87" spans="2:4">
      <c r="B87" t="s">
        <v>27</v>
      </c>
      <c r="C87" t="s">
        <v>4</v>
      </c>
      <c r="D87" s="2">
        <v>5917</v>
      </c>
    </row>
    <row r="88" spans="2:4">
      <c r="B88" t="s">
        <v>28</v>
      </c>
      <c r="C88" t="s">
        <v>4</v>
      </c>
      <c r="D88" s="2">
        <v>3593.3</v>
      </c>
    </row>
    <row r="89" spans="2:4">
      <c r="B89" t="s">
        <v>29</v>
      </c>
      <c r="C89" t="s">
        <v>4</v>
      </c>
      <c r="D89" s="2">
        <v>77100</v>
      </c>
    </row>
    <row r="90" spans="2:4">
      <c r="B90" t="s">
        <v>30</v>
      </c>
      <c r="C90" t="s">
        <v>4</v>
      </c>
      <c r="D90" s="2">
        <v>13565</v>
      </c>
    </row>
    <row r="91" spans="2:4">
      <c r="B91" t="s">
        <v>31</v>
      </c>
      <c r="C91" t="s">
        <v>4</v>
      </c>
      <c r="D91" s="2" t="s">
        <v>127</v>
      </c>
    </row>
    <row r="92" spans="2:4">
      <c r="B92" t="s">
        <v>35</v>
      </c>
      <c r="C92" t="s">
        <v>4</v>
      </c>
      <c r="D92" s="2">
        <f>SUM(D64:D91)</f>
        <v>334179.3</v>
      </c>
    </row>
    <row r="97" spans="2:4" ht="43.5">
      <c r="B97" s="1" t="s">
        <v>128</v>
      </c>
      <c r="C97" t="s">
        <v>129</v>
      </c>
      <c r="D97" t="s">
        <v>38</v>
      </c>
    </row>
    <row r="98" spans="2:4" ht="16.5">
      <c r="B98" t="s">
        <v>3</v>
      </c>
      <c r="C98" t="s">
        <v>129</v>
      </c>
      <c r="D98" s="2"/>
    </row>
    <row r="99" spans="2:4" ht="16.5">
      <c r="B99" t="s">
        <v>5</v>
      </c>
      <c r="C99" t="s">
        <v>129</v>
      </c>
      <c r="D99" s="2">
        <v>173.29890368759627</v>
      </c>
    </row>
    <row r="100" spans="2:4" ht="16.5">
      <c r="B100" t="s">
        <v>6</v>
      </c>
      <c r="C100" t="s">
        <v>129</v>
      </c>
      <c r="D100" s="2">
        <v>73.857584825277684</v>
      </c>
    </row>
    <row r="101" spans="2:4" ht="16.5">
      <c r="B101" t="s">
        <v>7</v>
      </c>
      <c r="C101" t="s">
        <v>129</v>
      </c>
      <c r="D101" s="2">
        <v>60.618768055167273</v>
      </c>
    </row>
    <row r="102" spans="2:4" ht="16.5">
      <c r="B102" t="s">
        <v>8</v>
      </c>
      <c r="C102" t="s">
        <v>129</v>
      </c>
      <c r="D102" s="2">
        <v>106.38095451289399</v>
      </c>
    </row>
    <row r="103" spans="2:4" ht="16.5">
      <c r="B103" t="s">
        <v>9</v>
      </c>
      <c r="C103" t="s">
        <v>129</v>
      </c>
      <c r="D103" s="2">
        <v>367.14794260065895</v>
      </c>
    </row>
    <row r="104" spans="2:4" ht="16.5">
      <c r="B104" t="s">
        <v>10</v>
      </c>
      <c r="C104" t="s">
        <v>129</v>
      </c>
      <c r="D104" s="2">
        <v>62.896686103987278</v>
      </c>
    </row>
    <row r="105" spans="2:4" ht="16.5">
      <c r="B105" t="s">
        <v>11</v>
      </c>
      <c r="C105" t="s">
        <v>129</v>
      </c>
      <c r="D105" s="2"/>
    </row>
    <row r="106" spans="2:4" ht="16.5">
      <c r="B106" t="s">
        <v>12</v>
      </c>
      <c r="C106" t="s">
        <v>129</v>
      </c>
      <c r="D106" s="2">
        <v>29.457805606944643</v>
      </c>
    </row>
    <row r="107" spans="2:4" ht="16.5">
      <c r="B107" t="s">
        <v>13</v>
      </c>
      <c r="C107" t="s">
        <v>129</v>
      </c>
      <c r="D107" s="2">
        <v>14.283309217219696</v>
      </c>
    </row>
    <row r="108" spans="2:4" ht="16.5">
      <c r="B108" t="s">
        <v>14</v>
      </c>
      <c r="C108" t="s">
        <v>129</v>
      </c>
      <c r="D108" s="2">
        <v>123.14026221860975</v>
      </c>
    </row>
    <row r="109" spans="2:4" ht="16.5">
      <c r="B109" t="s">
        <v>15</v>
      </c>
      <c r="C109" t="s">
        <v>129</v>
      </c>
      <c r="D109" s="2"/>
    </row>
    <row r="110" spans="2:4" ht="16.5">
      <c r="B110" t="s">
        <v>16</v>
      </c>
      <c r="C110" t="s">
        <v>129</v>
      </c>
      <c r="D110" s="2">
        <v>588.15263214787592</v>
      </c>
    </row>
    <row r="111" spans="2:4" ht="16.5">
      <c r="B111" t="s">
        <v>17</v>
      </c>
      <c r="C111" t="s">
        <v>129</v>
      </c>
      <c r="D111" s="2">
        <v>310.45483406377281</v>
      </c>
    </row>
    <row r="112" spans="2:4" ht="16.5">
      <c r="B112" t="s">
        <v>18</v>
      </c>
      <c r="C112" t="s">
        <v>129</v>
      </c>
      <c r="D112" s="2">
        <v>320.54345495205712</v>
      </c>
    </row>
    <row r="113" spans="2:4" ht="16.5">
      <c r="B113" t="s">
        <v>19</v>
      </c>
      <c r="C113" t="s">
        <v>129</v>
      </c>
      <c r="D113" s="2">
        <v>323.66589327146175</v>
      </c>
    </row>
    <row r="114" spans="2:4" ht="16.5">
      <c r="B114" t="s">
        <v>20</v>
      </c>
      <c r="C114" t="s">
        <v>129</v>
      </c>
      <c r="D114" s="2">
        <v>323.28434271215235</v>
      </c>
    </row>
    <row r="115" spans="2:4" ht="16.5">
      <c r="B115" t="s">
        <v>21</v>
      </c>
      <c r="C115" t="s">
        <v>129</v>
      </c>
      <c r="D115" s="2"/>
    </row>
    <row r="116" spans="2:4" ht="16.5">
      <c r="B116" t="s">
        <v>22</v>
      </c>
      <c r="C116" t="s">
        <v>129</v>
      </c>
      <c r="D116" s="2">
        <v>16.008666345690902</v>
      </c>
    </row>
    <row r="117" spans="2:4" ht="16.5">
      <c r="B117" t="s">
        <v>23</v>
      </c>
      <c r="C117" t="s">
        <v>129</v>
      </c>
      <c r="D117" s="2">
        <v>26.621681231297462</v>
      </c>
    </row>
    <row r="118" spans="2:4" ht="16.5">
      <c r="B118" t="s">
        <v>24</v>
      </c>
      <c r="C118" t="s">
        <v>129</v>
      </c>
      <c r="D118" s="2">
        <v>62.076442613670892</v>
      </c>
    </row>
    <row r="119" spans="2:4" ht="16.5">
      <c r="B119" t="s">
        <v>25</v>
      </c>
      <c r="C119" t="s">
        <v>129</v>
      </c>
      <c r="D119" s="2"/>
    </row>
    <row r="120" spans="2:4" ht="16.5">
      <c r="B120" t="s">
        <v>26</v>
      </c>
      <c r="C120" t="s">
        <v>129</v>
      </c>
      <c r="D120" s="2">
        <v>70.854274097101936</v>
      </c>
    </row>
    <row r="121" spans="2:4" ht="16.5">
      <c r="B121" t="s">
        <v>27</v>
      </c>
      <c r="C121" t="s">
        <v>129</v>
      </c>
      <c r="D121" s="2">
        <v>291.86602870813397</v>
      </c>
    </row>
    <row r="122" spans="2:4" ht="16.5">
      <c r="B122" t="s">
        <v>28</v>
      </c>
      <c r="C122" t="s">
        <v>129</v>
      </c>
      <c r="D122" s="2">
        <v>73.280309982665457</v>
      </c>
    </row>
    <row r="123" spans="2:4" ht="16.5">
      <c r="B123" t="s">
        <v>29</v>
      </c>
      <c r="C123" t="s">
        <v>129</v>
      </c>
      <c r="D123" s="2">
        <v>227.80995154237087</v>
      </c>
    </row>
    <row r="124" spans="2:4" ht="16.5">
      <c r="B124" t="s">
        <v>30</v>
      </c>
      <c r="C124" t="s">
        <v>129</v>
      </c>
      <c r="D124" s="2">
        <v>30.929786079430151</v>
      </c>
    </row>
    <row r="125" spans="2:4" ht="16.5">
      <c r="B125" t="s">
        <v>31</v>
      </c>
      <c r="C125" t="s">
        <v>129</v>
      </c>
      <c r="D125" s="2"/>
    </row>
    <row r="126" spans="2:4" ht="16.5">
      <c r="B126" t="s">
        <v>32</v>
      </c>
      <c r="C126" t="s">
        <v>129</v>
      </c>
      <c r="D126" s="2">
        <f>AVERAGE(D98:D125)</f>
        <v>167.11956884436532</v>
      </c>
    </row>
    <row r="128" spans="2:4">
      <c r="B128" t="s">
        <v>83</v>
      </c>
      <c r="C128" t="s">
        <v>1</v>
      </c>
      <c r="D128" t="s">
        <v>2</v>
      </c>
    </row>
    <row r="129" spans="2:14" ht="43.5">
      <c r="B129" s="1" t="s">
        <v>128</v>
      </c>
      <c r="C129" t="s">
        <v>84</v>
      </c>
      <c r="D129" s="15">
        <f>D126</f>
        <v>167.11956884436532</v>
      </c>
    </row>
    <row r="131" spans="2:14">
      <c r="B131" t="s">
        <v>134</v>
      </c>
      <c r="C131" t="s">
        <v>1</v>
      </c>
      <c r="D131" t="s">
        <v>133</v>
      </c>
      <c r="E131" t="s">
        <v>42</v>
      </c>
      <c r="F131" t="s">
        <v>43</v>
      </c>
      <c r="G131" t="s">
        <v>44</v>
      </c>
      <c r="H131" t="s">
        <v>45</v>
      </c>
      <c r="I131" t="s">
        <v>46</v>
      </c>
      <c r="J131" t="s">
        <v>47</v>
      </c>
      <c r="K131" t="s">
        <v>48</v>
      </c>
      <c r="L131" t="s">
        <v>49</v>
      </c>
      <c r="M131" t="s">
        <v>50</v>
      </c>
      <c r="N131" t="s">
        <v>51</v>
      </c>
    </row>
    <row r="133" spans="2:14">
      <c r="B133" s="1" t="s">
        <v>130</v>
      </c>
      <c r="C133" t="s">
        <v>4</v>
      </c>
      <c r="D133" s="2">
        <f>SUM(Tabela19[[#This Row],[2014]:[2023]])</f>
        <v>3910.9999999999991</v>
      </c>
      <c r="E133" s="29">
        <v>335.8</v>
      </c>
      <c r="F133" s="29">
        <v>391.4</v>
      </c>
      <c r="G133" s="29">
        <v>389.7</v>
      </c>
      <c r="H133" s="29">
        <v>725.6</v>
      </c>
      <c r="I133">
        <v>120</v>
      </c>
      <c r="J133" s="29">
        <f>MEDIAN(Tabela19[[#This Row],[2014]:[2018]])</f>
        <v>389.7</v>
      </c>
      <c r="K133" s="29">
        <f>MEDIAN(Tabela19[[#This Row],[2014]:[2018]])</f>
        <v>389.7</v>
      </c>
      <c r="L133" s="29">
        <f>MEDIAN(Tabela19[[#This Row],[2014]:[2018]])</f>
        <v>389.7</v>
      </c>
      <c r="M133" s="29">
        <f>MEDIAN(Tabela19[[#This Row],[2014]:[2018]])</f>
        <v>389.7</v>
      </c>
      <c r="N133" s="29">
        <f>MEDIAN(Tabela19[[#This Row],[2014]:[2018]])</f>
        <v>389.7</v>
      </c>
    </row>
    <row r="134" spans="2:14">
      <c r="B134" s="1"/>
      <c r="C134" t="s">
        <v>114</v>
      </c>
      <c r="D134" s="2">
        <f>SUM(Tabela19[[#This Row],[2014]:[2023]])</f>
        <v>3945.6</v>
      </c>
      <c r="E134" s="29">
        <v>271</v>
      </c>
      <c r="F134" s="29">
        <v>362.4</v>
      </c>
      <c r="G134" s="29">
        <v>338.6</v>
      </c>
      <c r="H134" s="29">
        <v>656.8</v>
      </c>
      <c r="I134">
        <v>344</v>
      </c>
      <c r="J134" s="29">
        <f>AVERAGE(Tabela19[[#This Row],[2014]:[2018]])</f>
        <v>394.56</v>
      </c>
      <c r="K134" s="29">
        <f>AVERAGE(Tabela19[[#This Row],[2014]:[2018]])</f>
        <v>394.56</v>
      </c>
      <c r="L134" s="29">
        <f>AVERAGE(Tabela19[[#This Row],[2014]:[2018]])</f>
        <v>394.56</v>
      </c>
      <c r="M134" s="29">
        <f>AVERAGE(Tabela19[[#This Row],[2014]:[2018]])</f>
        <v>394.56</v>
      </c>
      <c r="N134" s="29">
        <f>AVERAGE(Tabela19[[#This Row],[2014]:[2018]])</f>
        <v>394.56</v>
      </c>
    </row>
    <row r="135" spans="2:14" ht="29">
      <c r="B135" s="1" t="s">
        <v>131</v>
      </c>
      <c r="C135" t="s">
        <v>4</v>
      </c>
      <c r="D135" s="2">
        <f>SUM(Tabela19[[#This Row],[2014]:[2023]])</f>
        <v>314.50000000000006</v>
      </c>
      <c r="E135" s="29">
        <v>37.799999999999997</v>
      </c>
      <c r="F135" s="29">
        <v>36.299999999999997</v>
      </c>
      <c r="G135" s="29">
        <v>5.3</v>
      </c>
      <c r="H135" s="29">
        <v>15.8</v>
      </c>
      <c r="I135" s="29">
        <v>37.799999999999997</v>
      </c>
      <c r="J135" s="29">
        <f>MEDIAN(Tabela19[[#This Row],[2014]:[2018]])</f>
        <v>36.299999999999997</v>
      </c>
      <c r="K135" s="29">
        <f>MEDIAN(Tabela19[[#This Row],[2014]:[2018]])</f>
        <v>36.299999999999997</v>
      </c>
      <c r="L135" s="29">
        <f>MEDIAN(Tabela19[[#This Row],[2014]:[2018]])</f>
        <v>36.299999999999997</v>
      </c>
      <c r="M135" s="29">
        <f>MEDIAN(Tabela19[[#This Row],[2014]:[2018]])</f>
        <v>36.299999999999997</v>
      </c>
      <c r="N135" s="29">
        <f>MEDIAN(Tabela19[[#This Row],[2014]:[2018]])</f>
        <v>36.299999999999997</v>
      </c>
    </row>
    <row r="136" spans="2:14">
      <c r="B136" s="1"/>
      <c r="C136" t="s">
        <v>114</v>
      </c>
      <c r="D136" s="2">
        <f>SUM(Tabela19[[#This Row],[2014]:[2023]])</f>
        <v>1053.8</v>
      </c>
      <c r="E136" s="29">
        <v>174</v>
      </c>
      <c r="F136" s="29">
        <v>122.2</v>
      </c>
      <c r="G136" s="29">
        <v>24.4</v>
      </c>
      <c r="H136" s="29">
        <v>120.5</v>
      </c>
      <c r="I136" s="29">
        <v>85.8</v>
      </c>
      <c r="J136" s="29">
        <f>AVERAGE(Tabela19[[#This Row],[2014]:[2018]])</f>
        <v>105.38</v>
      </c>
      <c r="K136" s="29">
        <f>AVERAGE(Tabela19[[#This Row],[2014]:[2018]])</f>
        <v>105.38</v>
      </c>
      <c r="L136" s="29">
        <f>AVERAGE(Tabela19[[#This Row],[2014]:[2018]])</f>
        <v>105.38</v>
      </c>
      <c r="M136" s="29">
        <f>AVERAGE(Tabela19[[#This Row],[2014]:[2018]])</f>
        <v>105.38</v>
      </c>
      <c r="N136" s="29">
        <f>AVERAGE(Tabela19[[#This Row],[2014]:[2018]])</f>
        <v>105.38</v>
      </c>
    </row>
    <row r="137" spans="2:14" ht="29">
      <c r="B137" s="1" t="s">
        <v>132</v>
      </c>
      <c r="C137" t="s">
        <v>4</v>
      </c>
      <c r="D137" s="2">
        <f>SUM(Tabela19[[#This Row],[2014]:[2023]])</f>
        <v>4225.5</v>
      </c>
      <c r="E137" s="29">
        <f>E135+E133</f>
        <v>373.6</v>
      </c>
      <c r="F137" s="29">
        <f t="shared" ref="F137:N137" si="3">F135+F133</f>
        <v>427.7</v>
      </c>
      <c r="G137" s="29">
        <f t="shared" si="3"/>
        <v>395</v>
      </c>
      <c r="H137" s="29">
        <f t="shared" si="3"/>
        <v>741.4</v>
      </c>
      <c r="I137" s="29">
        <f t="shared" si="3"/>
        <v>157.80000000000001</v>
      </c>
      <c r="J137" s="29">
        <f t="shared" si="3"/>
        <v>426</v>
      </c>
      <c r="K137" s="29">
        <f t="shared" si="3"/>
        <v>426</v>
      </c>
      <c r="L137" s="29">
        <f t="shared" si="3"/>
        <v>426</v>
      </c>
      <c r="M137" s="29">
        <f t="shared" si="3"/>
        <v>426</v>
      </c>
      <c r="N137" s="29">
        <f t="shared" si="3"/>
        <v>426</v>
      </c>
    </row>
    <row r="138" spans="2:14">
      <c r="C138" t="s">
        <v>114</v>
      </c>
      <c r="D138" s="2">
        <f>SUM(Tabela19[[#This Row],[2014]:[2023]])</f>
        <v>4999.3999999999996</v>
      </c>
      <c r="E138" s="29">
        <f>E136+E134</f>
        <v>445</v>
      </c>
      <c r="F138" s="29">
        <f t="shared" ref="F138:N138" si="4">F136+F134</f>
        <v>484.59999999999997</v>
      </c>
      <c r="G138" s="29">
        <f t="shared" si="4"/>
        <v>363</v>
      </c>
      <c r="H138" s="29">
        <f t="shared" si="4"/>
        <v>777.3</v>
      </c>
      <c r="I138" s="29">
        <f t="shared" si="4"/>
        <v>429.8</v>
      </c>
      <c r="J138" s="29">
        <f t="shared" si="4"/>
        <v>499.94</v>
      </c>
      <c r="K138" s="29">
        <f t="shared" si="4"/>
        <v>499.94</v>
      </c>
      <c r="L138" s="29">
        <f t="shared" si="4"/>
        <v>499.94</v>
      </c>
      <c r="M138" s="29">
        <f t="shared" si="4"/>
        <v>499.94</v>
      </c>
      <c r="N138" s="29">
        <f t="shared" si="4"/>
        <v>499.94</v>
      </c>
    </row>
    <row r="140" spans="2:14">
      <c r="B140" t="s">
        <v>40</v>
      </c>
      <c r="C140" t="s">
        <v>138</v>
      </c>
      <c r="D140" s="30" t="s">
        <v>41</v>
      </c>
      <c r="E140" t="s">
        <v>82</v>
      </c>
      <c r="F140" s="7" t="s">
        <v>43</v>
      </c>
      <c r="G140" s="7" t="s">
        <v>44</v>
      </c>
      <c r="H140" s="7" t="s">
        <v>45</v>
      </c>
      <c r="I140" s="7" t="s">
        <v>46</v>
      </c>
      <c r="J140" s="7" t="s">
        <v>47</v>
      </c>
    </row>
    <row r="141" spans="2:14" ht="29">
      <c r="B141" s="1" t="s">
        <v>135</v>
      </c>
      <c r="C141" t="s">
        <v>139</v>
      </c>
      <c r="F141" s="31">
        <v>0.39500000000000002</v>
      </c>
      <c r="G141" s="31">
        <v>0.48099999999999998</v>
      </c>
      <c r="H141" s="31">
        <v>0.40500000000000003</v>
      </c>
      <c r="I141" s="31">
        <v>0.38200000000000001</v>
      </c>
      <c r="J141" s="31"/>
    </row>
    <row r="142" spans="2:14" ht="29">
      <c r="B142" s="1" t="s">
        <v>136</v>
      </c>
      <c r="C142" t="s">
        <v>139</v>
      </c>
      <c r="F142" s="32">
        <v>0.13500000000000001</v>
      </c>
      <c r="G142" s="32">
        <v>0.161</v>
      </c>
      <c r="H142" s="32">
        <v>0.13900000000000001</v>
      </c>
      <c r="I142" s="32">
        <v>0.14199999999999999</v>
      </c>
      <c r="J142" s="32"/>
    </row>
    <row r="143" spans="2:14">
      <c r="B143" s="1" t="s">
        <v>137</v>
      </c>
      <c r="C143" t="s">
        <v>140</v>
      </c>
      <c r="F143" s="2">
        <v>8759</v>
      </c>
      <c r="G143" s="2">
        <v>9284</v>
      </c>
      <c r="H143" s="2">
        <v>14729</v>
      </c>
      <c r="I143" s="2">
        <v>12594</v>
      </c>
      <c r="J143" s="2">
        <v>11409</v>
      </c>
      <c r="K143" s="15"/>
    </row>
    <row r="145" spans="2:10">
      <c r="B145" t="s">
        <v>137</v>
      </c>
      <c r="C145" t="s">
        <v>1</v>
      </c>
      <c r="D145" t="s">
        <v>2</v>
      </c>
    </row>
    <row r="146" spans="2:10" ht="29">
      <c r="B146" s="1" t="s">
        <v>141</v>
      </c>
      <c r="C146" t="s">
        <v>114</v>
      </c>
      <c r="D146" s="2">
        <v>63000</v>
      </c>
      <c r="E146" s="15"/>
    </row>
    <row r="147" spans="2:10" ht="29">
      <c r="B147" s="1" t="s">
        <v>142</v>
      </c>
      <c r="C147" t="s">
        <v>114</v>
      </c>
      <c r="D147" s="2">
        <v>28000</v>
      </c>
    </row>
    <row r="148" spans="2:10" ht="29">
      <c r="B148" s="1" t="s">
        <v>143</v>
      </c>
      <c r="C148" t="s">
        <v>114</v>
      </c>
      <c r="D148" s="2">
        <f>J143</f>
        <v>11409</v>
      </c>
    </row>
    <row r="149" spans="2:10">
      <c r="B149" s="33" t="s">
        <v>52</v>
      </c>
      <c r="C149" t="s">
        <v>114</v>
      </c>
      <c r="D149" s="2">
        <f>SUM(D146:D148)</f>
        <v>102409</v>
      </c>
    </row>
    <row r="151" spans="2:10">
      <c r="B151" t="s">
        <v>137</v>
      </c>
      <c r="C151" t="s">
        <v>1</v>
      </c>
      <c r="D151" t="s">
        <v>2</v>
      </c>
    </row>
    <row r="152" spans="2:10" ht="43.5">
      <c r="B152" s="1" t="s">
        <v>144</v>
      </c>
      <c r="C152" t="s">
        <v>114</v>
      </c>
      <c r="D152" s="2">
        <f>Q14/1000</f>
        <v>41494.549191719991</v>
      </c>
    </row>
    <row r="153" spans="2:10">
      <c r="B153" s="1" t="s">
        <v>137</v>
      </c>
      <c r="C153" t="s">
        <v>114</v>
      </c>
      <c r="D153" s="2">
        <f>D149</f>
        <v>102409</v>
      </c>
    </row>
    <row r="154" spans="2:10" ht="29">
      <c r="B154" s="1" t="s">
        <v>146</v>
      </c>
      <c r="C154" t="s">
        <v>114</v>
      </c>
      <c r="D154" s="2">
        <f>D153-D152</f>
        <v>60914.450808280009</v>
      </c>
    </row>
    <row r="155" spans="2:10">
      <c r="B155" s="1"/>
      <c r="D155" s="2"/>
    </row>
    <row r="156" spans="2:10">
      <c r="B156" s="33"/>
      <c r="D156" s="2"/>
    </row>
    <row r="157" spans="2:10" ht="29">
      <c r="B157" s="1" t="s">
        <v>40</v>
      </c>
      <c r="C157" s="1" t="s">
        <v>787</v>
      </c>
      <c r="D157" s="1" t="s">
        <v>163</v>
      </c>
      <c r="E157" s="1" t="s">
        <v>164</v>
      </c>
      <c r="F157" s="1" t="s">
        <v>788</v>
      </c>
      <c r="G157" s="1" t="s">
        <v>789</v>
      </c>
      <c r="H157" s="1" t="s">
        <v>790</v>
      </c>
    </row>
    <row r="158" spans="2:10">
      <c r="B158" s="34" t="s">
        <v>69</v>
      </c>
      <c r="C158" s="37">
        <v>19402.7</v>
      </c>
      <c r="E158" s="2">
        <f>SUM(E159:E174)</f>
        <v>2984.2384100000004</v>
      </c>
      <c r="F158" s="15">
        <f>D146</f>
        <v>63000</v>
      </c>
      <c r="G158" s="15">
        <f>D147</f>
        <v>28000</v>
      </c>
      <c r="H158" s="15">
        <f>D148</f>
        <v>11409</v>
      </c>
      <c r="J158" s="15"/>
    </row>
    <row r="159" spans="2:10">
      <c r="B159" s="34" t="s">
        <v>147</v>
      </c>
      <c r="C159" s="37">
        <v>1419.7</v>
      </c>
      <c r="D159" s="35">
        <v>0.1517</v>
      </c>
      <c r="E159" s="29">
        <f>Tabela23[[#This Row],[drogi krajowe ogółem  '[km']]]*Tabela23[[#This Row],[udział % dróg o statusie złym]]</f>
        <v>215.36849000000001</v>
      </c>
      <c r="F159" s="15">
        <f>(Tabela23[[#This Row],[drogi krajowe ogółem  '[km']]]/$C$158)*$F$158</f>
        <v>4609.724419797245</v>
      </c>
      <c r="G159" s="15">
        <f>(Tabela23[[#This Row],[drogi krajowe ogółem  '[km']]]/$C$158)*$G$158</f>
        <v>2048.7664087987755</v>
      </c>
      <c r="H159" s="15">
        <f>(Tabela23[[#This Row],[km dróg o statusie złym]]/$E$158)*$H$158</f>
        <v>823.37225275845162</v>
      </c>
    </row>
    <row r="160" spans="2:10">
      <c r="B160" s="34" t="s">
        <v>148</v>
      </c>
      <c r="C160" s="37">
        <v>1207.0999999999999</v>
      </c>
      <c r="D160" s="35">
        <v>0.26100000000000001</v>
      </c>
      <c r="E160" s="29">
        <f>Tabela23[[#This Row],[drogi krajowe ogółem  '[km']]]*Tabela23[[#This Row],[udział % dróg o statusie złym]]</f>
        <v>315.05309999999997</v>
      </c>
      <c r="F160" s="15">
        <f>(Tabela23[[#This Row],[drogi krajowe ogółem  '[km']]]/$C$158)*$F$158</f>
        <v>3919.4184314554154</v>
      </c>
      <c r="G160" s="15">
        <f>(Tabela23[[#This Row],[drogi krajowe ogółem  '[km']]]/$C$158)*$G$158</f>
        <v>1741.9637473135181</v>
      </c>
      <c r="H160" s="15">
        <f>(Tabela23[[#This Row],[km dróg o statusie złym]]/$E$158)*$H$158</f>
        <v>1204.4750867944224</v>
      </c>
    </row>
    <row r="161" spans="2:8">
      <c r="B161" s="34" t="s">
        <v>149</v>
      </c>
      <c r="C161" s="37">
        <v>1041.4000000000001</v>
      </c>
      <c r="D161" s="35">
        <v>0.1986</v>
      </c>
      <c r="E161" s="29">
        <f>Tabela23[[#This Row],[drogi krajowe ogółem  '[km']]]*Tabela23[[#This Row],[udział % dróg o statusie złym]]</f>
        <v>206.82204000000002</v>
      </c>
      <c r="F161" s="15">
        <f>(Tabela23[[#This Row],[drogi krajowe ogółem  '[km']]]/$C$158)*$F$158</f>
        <v>3381.3953728089391</v>
      </c>
      <c r="G161" s="15">
        <f>(Tabela23[[#This Row],[drogi krajowe ogółem  '[km']]]/$C$158)*$G$158</f>
        <v>1502.8423879150841</v>
      </c>
      <c r="H161" s="15">
        <f>(Tabela23[[#This Row],[km dróg o statusie złym]]/$E$158)*$H$158</f>
        <v>790.69843965985274</v>
      </c>
    </row>
    <row r="162" spans="2:8">
      <c r="B162" s="34" t="s">
        <v>150</v>
      </c>
      <c r="C162" s="37">
        <v>908.5</v>
      </c>
      <c r="D162" s="35">
        <v>0.27139999999999997</v>
      </c>
      <c r="E162" s="29">
        <f>Tabela23[[#This Row],[drogi krajowe ogółem  '[km']]]*Tabela23[[#This Row],[udział % dróg o statusie złym]]</f>
        <v>246.56689999999998</v>
      </c>
      <c r="F162" s="15">
        <f>(Tabela23[[#This Row],[drogi krajowe ogółem  '[km']]]/$C$158)*$F$158</f>
        <v>2949.8729558257351</v>
      </c>
      <c r="G162" s="15">
        <f>(Tabela23[[#This Row],[drogi krajowe ogółem  '[km']]]/$C$158)*$G$158</f>
        <v>1311.0546470336601</v>
      </c>
      <c r="H162" s="15">
        <f>(Tabela23[[#This Row],[km dróg o statusie złym]]/$E$158)*$H$158</f>
        <v>942.64645635333113</v>
      </c>
    </row>
    <row r="163" spans="2:8">
      <c r="B163" s="34" t="s">
        <v>151</v>
      </c>
      <c r="C163" s="37">
        <v>1485.9</v>
      </c>
      <c r="D163" s="35">
        <v>0.1095</v>
      </c>
      <c r="E163" s="29">
        <f>Tabela23[[#This Row],[drogi krajowe ogółem  '[km']]]*Tabela23[[#This Row],[udział % dróg o statusie złym]]</f>
        <v>162.70605</v>
      </c>
      <c r="F163" s="15">
        <f>(Tabela23[[#This Row],[drogi krajowe ogółem  '[km']]]/$C$158)*$F$158</f>
        <v>4824.6738855932426</v>
      </c>
      <c r="G163" s="15">
        <f>(Tabela23[[#This Row],[drogi krajowe ogółem  '[km']]]/$C$158)*$G$158</f>
        <v>2144.2995047081076</v>
      </c>
      <c r="H163" s="15">
        <f>(Tabela23[[#This Row],[km dróg o statusie złym]]/$E$158)*$H$158</f>
        <v>622.03921718506388</v>
      </c>
    </row>
    <row r="164" spans="2:8">
      <c r="B164" s="34" t="s">
        <v>152</v>
      </c>
      <c r="C164" s="37">
        <v>1097.9000000000001</v>
      </c>
      <c r="D164" s="35">
        <v>0.2054</v>
      </c>
      <c r="E164" s="29">
        <f>Tabela23[[#This Row],[drogi krajowe ogółem  '[km']]]*Tabela23[[#This Row],[udział % dróg o statusie złym]]</f>
        <v>225.50866000000002</v>
      </c>
      <c r="F164" s="15">
        <f>(Tabela23[[#This Row],[drogi krajowe ogółem  '[km']]]/$C$158)*$F$158</f>
        <v>3564.8492220154926</v>
      </c>
      <c r="G164" s="15">
        <f>(Tabela23[[#This Row],[drogi krajowe ogółem  '[km']]]/$C$158)*$G$158</f>
        <v>1584.3774320068858</v>
      </c>
      <c r="H164" s="15">
        <f>(Tabela23[[#This Row],[km dróg o statusie złym]]/$E$158)*$H$158</f>
        <v>862.13899443107834</v>
      </c>
    </row>
    <row r="165" spans="2:8">
      <c r="B165" s="34" t="s">
        <v>153</v>
      </c>
      <c r="C165" s="37">
        <v>2437.1</v>
      </c>
      <c r="D165" s="35">
        <v>0.15340000000000001</v>
      </c>
      <c r="E165" s="29">
        <f>Tabela23[[#This Row],[drogi krajowe ogółem  '[km']]]*Tabela23[[#This Row],[udział % dróg o statusie złym]]</f>
        <v>373.85113999999999</v>
      </c>
      <c r="F165" s="15">
        <f>(Tabela23[[#This Row],[drogi krajowe ogółem  '[km']]]/$C$158)*$F$158</f>
        <v>7913.1924938281782</v>
      </c>
      <c r="G165" s="15">
        <f>(Tabela23[[#This Row],[drogi krajowe ogółem  '[km']]]/$C$158)*$G$158</f>
        <v>3516.9744417014126</v>
      </c>
      <c r="H165" s="15">
        <f>(Tabela23[[#This Row],[km dróg o statusie złym]]/$E$158)*$H$158</f>
        <v>1429.2650486527311</v>
      </c>
    </row>
    <row r="166" spans="2:8">
      <c r="B166" s="34" t="s">
        <v>154</v>
      </c>
      <c r="C166" s="37">
        <v>779.5</v>
      </c>
      <c r="D166" s="35">
        <v>0.1431</v>
      </c>
      <c r="E166" s="29">
        <f>Tabela23[[#This Row],[drogi krajowe ogółem  '[km']]]*Tabela23[[#This Row],[udział % dróg o statusie złym]]</f>
        <v>111.54645000000001</v>
      </c>
      <c r="F166" s="15">
        <f>(Tabela23[[#This Row],[drogi krajowe ogółem  '[km']]]/$C$158)*$F$158</f>
        <v>2531.0137248939582</v>
      </c>
      <c r="G166" s="15">
        <f>(Tabela23[[#This Row],[drogi krajowe ogółem  '[km']]]/$C$158)*$G$158</f>
        <v>1124.8949888417592</v>
      </c>
      <c r="H166" s="15">
        <f>(Tabela23[[#This Row],[km dróg o statusie złym]]/$E$158)*$H$158</f>
        <v>426.45166813264086</v>
      </c>
    </row>
    <row r="167" spans="2:8">
      <c r="B167" s="34" t="s">
        <v>155</v>
      </c>
      <c r="C167" s="37">
        <v>927.1</v>
      </c>
      <c r="D167" s="35">
        <v>0.13980000000000001</v>
      </c>
      <c r="E167" s="29">
        <f>Tabela23[[#This Row],[drogi krajowe ogółem  '[km']]]*Tabela23[[#This Row],[udział % dróg o statusie złym]]</f>
        <v>129.60858000000002</v>
      </c>
      <c r="F167" s="15">
        <f>(Tabela23[[#This Row],[drogi krajowe ogółem  '[km']]]/$C$158)*$F$158</f>
        <v>3010.2666123786894</v>
      </c>
      <c r="G167" s="15">
        <f>(Tabela23[[#This Row],[drogi krajowe ogółem  '[km']]]/$C$158)*$G$158</f>
        <v>1337.8962721683063</v>
      </c>
      <c r="H167" s="15">
        <f>(Tabela23[[#This Row],[km dróg o statusie złym]]/$E$158)*$H$158</f>
        <v>495.50474394570904</v>
      </c>
    </row>
    <row r="168" spans="2:8">
      <c r="B168" s="34" t="s">
        <v>156</v>
      </c>
      <c r="C168" s="37">
        <v>994.7</v>
      </c>
      <c r="D168" s="35">
        <v>0.1212</v>
      </c>
      <c r="E168" s="29">
        <f>Tabela23[[#This Row],[drogi krajowe ogółem  '[km']]]*Tabela23[[#This Row],[udział % dróg o statusie złym]]</f>
        <v>120.55764000000001</v>
      </c>
      <c r="F168" s="15">
        <f>(Tabela23[[#This Row],[drogi krajowe ogółem  '[km']]]/$C$158)*$F$158</f>
        <v>3229.7618372700708</v>
      </c>
      <c r="G168" s="15">
        <f>(Tabela23[[#This Row],[drogi krajowe ogółem  '[km']]]/$C$158)*$G$158</f>
        <v>1435.4497054533647</v>
      </c>
      <c r="H168" s="15">
        <f>(Tabela23[[#This Row],[km dróg o statusie złym]]/$E$158)*$H$158</f>
        <v>460.90222220549725</v>
      </c>
    </row>
    <row r="169" spans="2:8">
      <c r="B169" s="34" t="s">
        <v>157</v>
      </c>
      <c r="C169" s="37">
        <v>914.2</v>
      </c>
      <c r="D169" s="35">
        <v>9.1999999999999998E-2</v>
      </c>
      <c r="E169" s="29">
        <f>Tabela23[[#This Row],[drogi krajowe ogółem  '[km']]]*Tabela23[[#This Row],[udział % dróg o statusie złym]]</f>
        <v>84.106400000000008</v>
      </c>
      <c r="F169" s="15">
        <f>(Tabela23[[#This Row],[drogi krajowe ogółem  '[km']]]/$C$158)*$F$158</f>
        <v>2968.3806892855118</v>
      </c>
      <c r="G169" s="15">
        <f>(Tabela23[[#This Row],[drogi krajowe ogółem  '[km']]]/$C$158)*$G$158</f>
        <v>1319.2803063491165</v>
      </c>
      <c r="H169" s="15">
        <f>(Tabela23[[#This Row],[km dróg o statusie złym]]/$E$158)*$H$158</f>
        <v>321.5459979284966</v>
      </c>
    </row>
    <row r="170" spans="2:8">
      <c r="B170" s="34" t="s">
        <v>158</v>
      </c>
      <c r="C170" s="37">
        <v>1228.3</v>
      </c>
      <c r="D170" s="35">
        <v>0.1336</v>
      </c>
      <c r="E170" s="29">
        <f>Tabela23[[#This Row],[drogi krajowe ogółem  '[km']]]*Tabela23[[#This Row],[udział % dróg o statusie złym]]</f>
        <v>164.10087999999999</v>
      </c>
      <c r="F170" s="15">
        <f>(Tabela23[[#This Row],[drogi krajowe ogółem  '[km']]]/$C$158)*$F$158</f>
        <v>3988.2542120426533</v>
      </c>
      <c r="G170" s="15">
        <f>(Tabela23[[#This Row],[drogi krajowe ogółem  '[km']]]/$C$158)*$G$158</f>
        <v>1772.5574275745125</v>
      </c>
      <c r="H170" s="15">
        <f>(Tabela23[[#This Row],[km dróg o statusie złym]]/$E$158)*$H$158</f>
        <v>627.37177219027865</v>
      </c>
    </row>
    <row r="171" spans="2:8">
      <c r="B171" s="34" t="s">
        <v>159</v>
      </c>
      <c r="C171" s="37">
        <v>755</v>
      </c>
      <c r="D171" s="35">
        <v>8.6300000000000002E-2</v>
      </c>
      <c r="E171" s="29">
        <f>Tabela23[[#This Row],[drogi krajowe ogółem  '[km']]]*Tabela23[[#This Row],[udział % dróg o statusie złym]]</f>
        <v>65.156500000000008</v>
      </c>
      <c r="F171" s="15">
        <f>(Tabela23[[#This Row],[drogi krajowe ogółem  '[km']]]/$C$158)*$F$158</f>
        <v>2451.4629407247444</v>
      </c>
      <c r="G171" s="15">
        <f>(Tabela23[[#This Row],[drogi krajowe ogółem  '[km']]]/$C$158)*$G$158</f>
        <v>1089.5390847665531</v>
      </c>
      <c r="H171" s="15">
        <f>(Tabela23[[#This Row],[km dróg o statusie złym]]/$E$158)*$H$158</f>
        <v>249.09890108277241</v>
      </c>
    </row>
    <row r="172" spans="2:8">
      <c r="B172" s="34" t="s">
        <v>160</v>
      </c>
      <c r="C172" s="37">
        <v>1333.6</v>
      </c>
      <c r="D172" s="35">
        <v>8.4400000000000003E-2</v>
      </c>
      <c r="E172" s="29">
        <f>Tabela23[[#This Row],[drogi krajowe ogółem  '[km']]]*Tabela23[[#This Row],[udział % dróg o statusie złym]]</f>
        <v>112.55583999999999</v>
      </c>
      <c r="F172" s="15">
        <f>(Tabela23[[#This Row],[drogi krajowe ogółem  '[km']]]/$C$158)*$F$158</f>
        <v>4330.1602354311517</v>
      </c>
      <c r="G172" s="15">
        <f>(Tabela23[[#This Row],[drogi krajowe ogółem  '[km']]]/$C$158)*$G$158</f>
        <v>1924.5156601916228</v>
      </c>
      <c r="H172" s="15">
        <f>(Tabela23[[#This Row],[km dróg o statusie złym]]/$E$158)*$H$158</f>
        <v>430.31065288111472</v>
      </c>
    </row>
    <row r="173" spans="2:8">
      <c r="B173" s="34" t="s">
        <v>161</v>
      </c>
      <c r="C173" s="37">
        <v>1736</v>
      </c>
      <c r="D173" s="35">
        <v>0.21759999999999999</v>
      </c>
      <c r="E173" s="29">
        <f>Tabela23[[#This Row],[drogi krajowe ogółem  '[km']]]*Tabela23[[#This Row],[udział % dróg o statusie złym]]</f>
        <v>377.75360000000001</v>
      </c>
      <c r="F173" s="15">
        <f>(Tabela23[[#This Row],[drogi krajowe ogółem  '[km']]]/$C$158)*$F$158</f>
        <v>5636.7412782757037</v>
      </c>
      <c r="G173" s="15">
        <f>(Tabela23[[#This Row],[drogi krajowe ogółem  '[km']]]/$C$158)*$G$158</f>
        <v>2505.2183459003127</v>
      </c>
      <c r="H173" s="15">
        <f>(Tabela23[[#This Row],[km dróg o statusie złym]]/$E$158)*$H$158</f>
        <v>1444.1844887319173</v>
      </c>
    </row>
    <row r="174" spans="2:8">
      <c r="B174" s="34" t="s">
        <v>162</v>
      </c>
      <c r="C174" s="37">
        <v>1136.7</v>
      </c>
      <c r="D174" s="35">
        <v>6.4199999999999993E-2</v>
      </c>
      <c r="E174" s="29">
        <f>Tabela23[[#This Row],[drogi krajowe ogółem  '[km']]]*Tabela23[[#This Row],[udział % dróg o statusie złym]]</f>
        <v>72.976140000000001</v>
      </c>
      <c r="F174" s="15">
        <f>(Tabela23[[#This Row],[drogi krajowe ogółem  '[km']]]/$C$158)*$F$158</f>
        <v>3690.8316883732678</v>
      </c>
      <c r="G174" s="15">
        <f>(Tabela23[[#This Row],[drogi krajowe ogółem  '[km']]]/$C$158)*$G$158</f>
        <v>1640.369639277008</v>
      </c>
      <c r="H174" s="15">
        <f>(Tabela23[[#This Row],[km dróg o statusie złym]]/$E$158)*$H$158</f>
        <v>278.99405706664032</v>
      </c>
    </row>
  </sheetData>
  <phoneticPr fontId="5" type="noConversion"/>
  <pageMargins left="0.7" right="0.7" top="0.75" bottom="0.75" header="0.3" footer="0.3"/>
  <tableParts count="12">
    <tablePart r:id="rId1"/>
    <tablePart r:id="rId2"/>
    <tablePart r:id="rId3"/>
    <tablePart r:id="rId4"/>
    <tablePart r:id="rId5"/>
    <tablePart r:id="rId6"/>
    <tablePart r:id="rId7"/>
    <tablePart r:id="rId8"/>
    <tablePart r:id="rId9"/>
    <tablePart r:id="rId10"/>
    <tablePart r:id="rId11"/>
    <tablePart r:id="rId1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F588B5-704D-49E8-B04C-C913884761A0}">
  <dimension ref="B2:G77"/>
  <sheetViews>
    <sheetView topLeftCell="A35" zoomScale="80" zoomScaleNormal="80" workbookViewId="0">
      <selection activeCell="H62" sqref="H62"/>
    </sheetView>
  </sheetViews>
  <sheetFormatPr defaultRowHeight="14.5"/>
  <cols>
    <col min="2" max="2" width="46.7265625" customWidth="1"/>
    <col min="3" max="3" width="25.90625" customWidth="1"/>
    <col min="4" max="4" width="30.90625" customWidth="1"/>
    <col min="5" max="5" width="25.453125" bestFit="1" customWidth="1"/>
    <col min="6" max="6" width="31.26953125" customWidth="1"/>
    <col min="7" max="7" width="17.1796875" bestFit="1" customWidth="1"/>
  </cols>
  <sheetData>
    <row r="2" spans="2:6">
      <c r="B2" t="s">
        <v>166</v>
      </c>
      <c r="C2" t="s">
        <v>1</v>
      </c>
      <c r="D2" t="s">
        <v>2</v>
      </c>
      <c r="E2" t="s">
        <v>177</v>
      </c>
      <c r="F2" t="s">
        <v>185</v>
      </c>
    </row>
    <row r="3" spans="2:6">
      <c r="B3" t="s">
        <v>69</v>
      </c>
      <c r="C3" t="s">
        <v>4</v>
      </c>
      <c r="D3" s="14">
        <v>28883.7</v>
      </c>
      <c r="E3" s="29">
        <f>SUM(E4:E19)</f>
        <v>5487.9029999999993</v>
      </c>
      <c r="F3" s="15">
        <f>SUM(F4:F19)</f>
        <v>36900110981.699989</v>
      </c>
    </row>
    <row r="4" spans="2:6">
      <c r="B4" t="s">
        <v>147</v>
      </c>
      <c r="C4" t="s">
        <v>4</v>
      </c>
      <c r="D4" s="14">
        <v>2170.8000000000002</v>
      </c>
      <c r="E4" s="29">
        <f>Tabela24[[#This Row],[wartość]]*$F$32</f>
        <v>412.452</v>
      </c>
      <c r="F4" s="15">
        <f>Tabela24[[#This Row],[19% sieci ze stanem złym]]*Tabela26[wskaźnik kosztu na 1 km drogi wojewódzkiej]</f>
        <v>2773286002.8000002</v>
      </c>
    </row>
    <row r="5" spans="2:6">
      <c r="B5" t="s">
        <v>148</v>
      </c>
      <c r="C5" t="s">
        <v>4</v>
      </c>
      <c r="D5" s="14">
        <v>1744.5</v>
      </c>
      <c r="E5" s="29">
        <f>Tabela24[[#This Row],[wartość]]*$F$32</f>
        <v>331.45499999999993</v>
      </c>
      <c r="F5" s="15">
        <f>Tabela24[[#This Row],[19% sieci ze stanem złym]]*Tabela26[wskaźnik kosztu na 1 km drogi wojewódzkiej]</f>
        <v>2228670274.4999995</v>
      </c>
    </row>
    <row r="6" spans="2:6">
      <c r="B6" t="s">
        <v>149</v>
      </c>
      <c r="C6" t="s">
        <v>4</v>
      </c>
      <c r="D6" s="14">
        <v>2298.6</v>
      </c>
      <c r="E6" s="29">
        <f>Tabela24[[#This Row],[wartość]]*$F$32</f>
        <v>436.73399999999992</v>
      </c>
      <c r="F6" s="15">
        <f>Tabela24[[#This Row],[19% sieci ze stanem złym]]*Tabela26[wskaźnik kosztu na 1 km drogi wojewódzkiej]</f>
        <v>2936555742.5999994</v>
      </c>
    </row>
    <row r="7" spans="2:6">
      <c r="B7" t="s">
        <v>150</v>
      </c>
      <c r="C7" t="s">
        <v>4</v>
      </c>
      <c r="D7" s="14">
        <v>1592.3</v>
      </c>
      <c r="E7" s="29">
        <f>Tabela24[[#This Row],[wartość]]*$F$32</f>
        <v>302.53699999999998</v>
      </c>
      <c r="F7" s="15">
        <f>Tabela24[[#This Row],[19% sieci ze stanem złym]]*Tabela26[wskaźnik kosztu na 1 km drogi wojewódzkiej]</f>
        <v>2034228534.3</v>
      </c>
    </row>
    <row r="8" spans="2:6">
      <c r="B8" t="s">
        <v>151</v>
      </c>
      <c r="C8" t="s">
        <v>4</v>
      </c>
      <c r="D8" s="14">
        <v>1363.4</v>
      </c>
      <c r="E8" s="29">
        <f>Tabela24[[#This Row],[wartość]]*$F$32</f>
        <v>259.04599999999999</v>
      </c>
      <c r="F8" s="15">
        <f>Tabela24[[#This Row],[19% sieci ze stanem złym]]*Tabela26[wskaźnik kosztu na 1 km drogi wojewódzkiej]</f>
        <v>1741799399.3999999</v>
      </c>
    </row>
    <row r="9" spans="2:6">
      <c r="B9" t="s">
        <v>152</v>
      </c>
      <c r="C9" t="s">
        <v>4</v>
      </c>
      <c r="D9" s="14">
        <v>1414.2</v>
      </c>
      <c r="E9" s="29">
        <f>Tabela24[[#This Row],[wartość]]*$F$32</f>
        <v>268.69799999999998</v>
      </c>
      <c r="F9" s="15">
        <f>Tabela24[[#This Row],[19% sieci ze stanem złym]]*Tabela26[wskaźnik kosztu na 1 km drogi wojewódzkiej]</f>
        <v>1806698482.1999998</v>
      </c>
    </row>
    <row r="10" spans="2:6">
      <c r="B10" t="s">
        <v>153</v>
      </c>
      <c r="C10" t="s">
        <v>4</v>
      </c>
      <c r="D10" s="14">
        <v>3007.1</v>
      </c>
      <c r="E10" s="29">
        <f>Tabela24[[#This Row],[wartość]]*$F$32</f>
        <v>571.34899999999993</v>
      </c>
      <c r="F10" s="15">
        <f>Tabela24[[#This Row],[19% sieci ze stanem złym]]*Tabela26[wskaźnik kosztu na 1 km drogi wojewódzkiej]</f>
        <v>3841693541.0999994</v>
      </c>
    </row>
    <row r="11" spans="2:6">
      <c r="B11" t="s">
        <v>154</v>
      </c>
      <c r="C11" t="s">
        <v>4</v>
      </c>
      <c r="D11" s="14">
        <v>995.5</v>
      </c>
      <c r="E11" s="29">
        <f>Tabela24[[#This Row],[wartość]]*$F$32</f>
        <v>189.14499999999998</v>
      </c>
      <c r="F11" s="15">
        <f>Tabela24[[#This Row],[19% sieci ze stanem złym]]*Tabela26[wskaźnik kosztu na 1 km drogi wojewódzkiej]</f>
        <v>1271792065.4999998</v>
      </c>
    </row>
    <row r="12" spans="2:6">
      <c r="B12" t="s">
        <v>155</v>
      </c>
      <c r="C12" t="s">
        <v>4</v>
      </c>
      <c r="D12" s="14">
        <v>1721.6</v>
      </c>
      <c r="E12" s="29">
        <f>Tabela24[[#This Row],[wartość]]*$F$32</f>
        <v>327.10399999999993</v>
      </c>
      <c r="F12" s="15">
        <f>Tabela24[[#This Row],[19% sieci ze stanem złym]]*Tabela26[wskaźnik kosztu na 1 km drogi wojewódzkiej]</f>
        <v>2199414585.5999994</v>
      </c>
    </row>
    <row r="13" spans="2:6">
      <c r="B13" t="s">
        <v>156</v>
      </c>
      <c r="C13" t="s">
        <v>4</v>
      </c>
      <c r="D13" s="14">
        <v>1334.5</v>
      </c>
      <c r="E13" s="29">
        <f>Tabela24[[#This Row],[wartość]]*$F$32</f>
        <v>253.55499999999998</v>
      </c>
      <c r="F13" s="15">
        <f>Tabela24[[#This Row],[19% sieci ze stanem złym]]*Tabela26[wskaźnik kosztu na 1 km drogi wojewódzkiej]</f>
        <v>1704878464.4999998</v>
      </c>
    </row>
    <row r="14" spans="2:6">
      <c r="B14" t="s">
        <v>157</v>
      </c>
      <c r="C14" t="s">
        <v>4</v>
      </c>
      <c r="D14" s="14">
        <v>1833.8</v>
      </c>
      <c r="E14" s="29">
        <f>Tabela24[[#This Row],[wartość]]*$F$32</f>
        <v>348.42199999999997</v>
      </c>
      <c r="F14" s="15">
        <f>Tabela24[[#This Row],[19% sieci ze stanem złym]]*Tabela26[wskaźnik kosztu na 1 km drogi wojewódzkiej]</f>
        <v>2342754685.7999997</v>
      </c>
    </row>
    <row r="15" spans="2:6">
      <c r="B15" t="s">
        <v>158</v>
      </c>
      <c r="C15" t="s">
        <v>4</v>
      </c>
      <c r="D15" s="14">
        <v>1486.1</v>
      </c>
      <c r="E15" s="29">
        <f>Tabela24[[#This Row],[wartość]]*$F$32</f>
        <v>282.35899999999992</v>
      </c>
      <c r="F15" s="15">
        <f>Tabela24[[#This Row],[19% sieci ze stanem złym]]*Tabela26[wskaźnik kosztu na 1 km drogi wojewódzkiej]</f>
        <v>1898553680.0999994</v>
      </c>
    </row>
    <row r="16" spans="2:6">
      <c r="B16" t="s">
        <v>159</v>
      </c>
      <c r="C16" t="s">
        <v>4</v>
      </c>
      <c r="D16" s="14">
        <v>1075.5</v>
      </c>
      <c r="E16" s="29">
        <f>Tabela24[[#This Row],[wartość]]*$F$32</f>
        <v>204.34499999999997</v>
      </c>
      <c r="F16" s="15">
        <f>Tabela24[[#This Row],[19% sieci ze stanem złym]]*Tabela26[wskaźnik kosztu na 1 km drogi wojewódzkiej]</f>
        <v>1373995345.4999998</v>
      </c>
    </row>
    <row r="17" spans="2:6">
      <c r="B17" t="s">
        <v>160</v>
      </c>
      <c r="C17" t="s">
        <v>4</v>
      </c>
      <c r="D17" s="14">
        <v>1917.5</v>
      </c>
      <c r="E17" s="29">
        <f>Tabela24[[#This Row],[wartość]]*$F$32</f>
        <v>364.32499999999993</v>
      </c>
      <c r="F17" s="15">
        <f>Tabela24[[#This Row],[19% sieci ze stanem złym]]*Tabela26[wskaźnik kosztu na 1 km drogi wojewódzkiej]</f>
        <v>2449684867.4999995</v>
      </c>
    </row>
    <row r="18" spans="2:6">
      <c r="B18" t="s">
        <v>161</v>
      </c>
      <c r="C18" t="s">
        <v>4</v>
      </c>
      <c r="D18" s="14">
        <v>2789.6</v>
      </c>
      <c r="E18" s="29">
        <f>Tabela24[[#This Row],[wartość]]*$F$32</f>
        <v>530.02399999999989</v>
      </c>
      <c r="F18" s="15">
        <f>Tabela24[[#This Row],[19% sieci ze stanem złym]]*Tabela26[wskaźnik kosztu na 1 km drogi wojewódzkiej]</f>
        <v>3563828373.5999994</v>
      </c>
    </row>
    <row r="19" spans="2:6">
      <c r="B19" t="s">
        <v>162</v>
      </c>
      <c r="C19" t="s">
        <v>4</v>
      </c>
      <c r="D19" s="14">
        <v>2138.6999999999998</v>
      </c>
      <c r="E19" s="29">
        <f>Tabela24[[#This Row],[wartość]]*$F$32</f>
        <v>406.35299999999989</v>
      </c>
      <c r="F19" s="15">
        <f>Tabela24[[#This Row],[19% sieci ze stanem złym]]*Tabela26[wskaźnik kosztu na 1 km drogi wojewódzkiej]</f>
        <v>2732276936.6999993</v>
      </c>
    </row>
    <row r="21" spans="2:6">
      <c r="B21" s="39" t="s">
        <v>167</v>
      </c>
      <c r="C21" t="s">
        <v>71</v>
      </c>
      <c r="D21" t="s">
        <v>42</v>
      </c>
      <c r="E21" t="s">
        <v>43</v>
      </c>
      <c r="F21" t="s">
        <v>44</v>
      </c>
    </row>
    <row r="22" spans="2:6">
      <c r="B22" s="33" t="s">
        <v>168</v>
      </c>
      <c r="C22" s="11" t="s">
        <v>176</v>
      </c>
      <c r="D22" s="32">
        <v>0.14299999999999999</v>
      </c>
      <c r="E22" s="32">
        <v>0.13</v>
      </c>
      <c r="F22" s="32">
        <v>8.6999999999999994E-2</v>
      </c>
    </row>
    <row r="23" spans="2:6">
      <c r="B23" s="33" t="s">
        <v>169</v>
      </c>
      <c r="C23" s="11" t="s">
        <v>176</v>
      </c>
      <c r="D23" s="32">
        <v>0.26700000000000002</v>
      </c>
      <c r="E23" s="32">
        <v>0.217</v>
      </c>
      <c r="F23" s="32">
        <v>0.191</v>
      </c>
    </row>
    <row r="24" spans="2:6">
      <c r="B24" s="1"/>
      <c r="C24" s="11" t="s">
        <v>176</v>
      </c>
      <c r="D24" s="32"/>
      <c r="E24" s="32"/>
      <c r="F24" s="32"/>
    </row>
    <row r="25" spans="2:6">
      <c r="B25" s="33" t="s">
        <v>170</v>
      </c>
      <c r="C25" s="11" t="s">
        <v>176</v>
      </c>
      <c r="D25" s="32">
        <v>0.216</v>
      </c>
      <c r="E25" s="32">
        <v>0.2</v>
      </c>
      <c r="F25" s="32">
        <v>0.219</v>
      </c>
    </row>
    <row r="26" spans="2:6">
      <c r="B26" s="1"/>
      <c r="C26" s="11" t="s">
        <v>176</v>
      </c>
      <c r="D26" s="32"/>
      <c r="E26" s="32"/>
      <c r="F26" s="32"/>
    </row>
    <row r="27" spans="2:6">
      <c r="B27" s="33" t="s">
        <v>171</v>
      </c>
      <c r="C27" s="11" t="s">
        <v>176</v>
      </c>
      <c r="D27" s="32">
        <v>0.158</v>
      </c>
      <c r="E27" s="32">
        <v>0.14899999999999999</v>
      </c>
      <c r="F27" s="32">
        <v>0.107</v>
      </c>
    </row>
    <row r="28" spans="2:6">
      <c r="B28" s="33" t="s">
        <v>172</v>
      </c>
      <c r="C28" s="11" t="s">
        <v>176</v>
      </c>
      <c r="D28" s="32">
        <v>0.254</v>
      </c>
      <c r="E28" s="32">
        <v>0.25</v>
      </c>
      <c r="F28" s="32">
        <v>0.32600000000000001</v>
      </c>
    </row>
    <row r="29" spans="2:6">
      <c r="B29" s="45"/>
      <c r="C29" s="11" t="s">
        <v>176</v>
      </c>
      <c r="D29" s="32"/>
      <c r="E29" s="32"/>
      <c r="F29" s="32"/>
    </row>
    <row r="30" spans="2:6">
      <c r="B30" s="33" t="s">
        <v>173</v>
      </c>
      <c r="C30" s="11" t="s">
        <v>176</v>
      </c>
      <c r="D30" s="32">
        <v>0.188</v>
      </c>
      <c r="E30" s="32">
        <v>0.17799999999999999</v>
      </c>
      <c r="F30" s="32">
        <v>0.152</v>
      </c>
    </row>
    <row r="31" spans="2:6">
      <c r="B31" s="33" t="s">
        <v>174</v>
      </c>
      <c r="C31" s="11" t="s">
        <v>176</v>
      </c>
      <c r="D31" s="32">
        <v>0.23799999999999999</v>
      </c>
      <c r="E31" s="32">
        <v>0.23899999999999999</v>
      </c>
      <c r="F31" s="32">
        <v>0.248</v>
      </c>
    </row>
    <row r="32" spans="2:6">
      <c r="B32" s="33" t="s">
        <v>175</v>
      </c>
      <c r="C32" s="11" t="s">
        <v>176</v>
      </c>
      <c r="D32" s="40">
        <f>AVERAGE(D22:D31)</f>
        <v>0.20914285714285713</v>
      </c>
      <c r="E32" s="40">
        <f>AVERAGE(E22:E31)</f>
        <v>0.1947142857142857</v>
      </c>
      <c r="F32" s="40">
        <f>AVERAGE(F22:F31)</f>
        <v>0.18999999999999997</v>
      </c>
    </row>
    <row r="35" spans="2:7" ht="29">
      <c r="B35" s="1" t="s">
        <v>182</v>
      </c>
      <c r="C35" s="1" t="s">
        <v>181</v>
      </c>
      <c r="D35" s="1" t="s">
        <v>178</v>
      </c>
      <c r="E35" s="1" t="s">
        <v>179</v>
      </c>
      <c r="F35" s="1" t="s">
        <v>183</v>
      </c>
      <c r="G35" s="1"/>
    </row>
    <row r="36" spans="2:7">
      <c r="B36" t="s">
        <v>180</v>
      </c>
      <c r="C36" s="42">
        <v>11685734893</v>
      </c>
      <c r="D36" s="43">
        <v>277</v>
      </c>
      <c r="E36" s="44">
        <v>1738</v>
      </c>
      <c r="F36" s="44">
        <v>6723900</v>
      </c>
    </row>
    <row r="38" spans="2:7">
      <c r="B38" t="s">
        <v>40</v>
      </c>
      <c r="C38" t="s">
        <v>1</v>
      </c>
      <c r="D38" t="s">
        <v>2</v>
      </c>
    </row>
    <row r="39" spans="2:7">
      <c r="B39" t="s">
        <v>184</v>
      </c>
      <c r="C39" t="s">
        <v>93</v>
      </c>
      <c r="D39" s="15">
        <f>Tabela26[wskaźnik kosztu na 1 km drogi wojewódzkiej]*E3</f>
        <v>36900110981.699997</v>
      </c>
    </row>
    <row r="42" spans="2:7" ht="15" thickBot="1">
      <c r="B42" s="46" t="s">
        <v>186</v>
      </c>
      <c r="C42" t="s">
        <v>45</v>
      </c>
      <c r="D42" t="s">
        <v>44</v>
      </c>
    </row>
    <row r="43" spans="2:7" ht="15" thickBot="1">
      <c r="B43" s="47" t="s">
        <v>187</v>
      </c>
      <c r="C43" s="49" t="s">
        <v>176</v>
      </c>
      <c r="D43" t="s">
        <v>176</v>
      </c>
    </row>
    <row r="44" spans="2:7" ht="15" thickBot="1">
      <c r="B44" s="48" t="s">
        <v>188</v>
      </c>
      <c r="C44" s="53">
        <v>37.700000000000003</v>
      </c>
      <c r="D44" s="26">
        <v>39.5</v>
      </c>
    </row>
    <row r="45" spans="2:7" ht="15" thickBot="1">
      <c r="B45" s="48" t="s">
        <v>189</v>
      </c>
      <c r="C45" s="53">
        <v>46.7</v>
      </c>
      <c r="D45" s="26">
        <v>54.3</v>
      </c>
    </row>
    <row r="46" spans="2:7" ht="15" thickBot="1">
      <c r="B46" s="48" t="s">
        <v>190</v>
      </c>
      <c r="C46" s="53">
        <v>42.3</v>
      </c>
      <c r="D46" s="26">
        <v>47.5</v>
      </c>
    </row>
    <row r="47" spans="2:7" ht="15" thickBot="1">
      <c r="B47" s="48" t="s">
        <v>9</v>
      </c>
      <c r="C47" s="53">
        <v>17.600000000000001</v>
      </c>
      <c r="D47" s="26">
        <v>22.7</v>
      </c>
    </row>
    <row r="48" spans="2:7" ht="15" thickBot="1">
      <c r="B48" s="48" t="s">
        <v>191</v>
      </c>
      <c r="C48" s="53">
        <v>30.8</v>
      </c>
      <c r="D48" s="26">
        <v>31.6</v>
      </c>
    </row>
    <row r="49" spans="2:7" ht="15" thickBot="1">
      <c r="B49" s="48" t="s">
        <v>192</v>
      </c>
      <c r="C49" s="53">
        <v>20.3</v>
      </c>
      <c r="D49" s="26">
        <v>20.8</v>
      </c>
    </row>
    <row r="50" spans="2:7" ht="15" thickBot="1">
      <c r="B50" s="48" t="s">
        <v>193</v>
      </c>
      <c r="C50" s="53">
        <v>22.4</v>
      </c>
      <c r="D50" s="26">
        <v>26.7</v>
      </c>
    </row>
    <row r="51" spans="2:7" ht="15" thickBot="1">
      <c r="B51" s="48" t="s">
        <v>194</v>
      </c>
      <c r="C51" s="53">
        <v>43.9</v>
      </c>
      <c r="D51" s="26">
        <v>47.9</v>
      </c>
    </row>
    <row r="52" spans="2:7" ht="15" thickBot="1">
      <c r="B52" s="48" t="s">
        <v>195</v>
      </c>
      <c r="C52" s="53">
        <v>30.4</v>
      </c>
      <c r="D52" s="26">
        <v>29.9</v>
      </c>
    </row>
    <row r="53" spans="2:7" ht="15" thickBot="1">
      <c r="B53" s="48" t="s">
        <v>196</v>
      </c>
      <c r="C53" s="54">
        <v>13.9</v>
      </c>
      <c r="D53" s="26">
        <v>12</v>
      </c>
    </row>
    <row r="54" spans="2:7" ht="15" thickBot="1">
      <c r="B54" s="48" t="s">
        <v>197</v>
      </c>
      <c r="C54" s="53">
        <v>23.5</v>
      </c>
      <c r="D54" s="26">
        <v>22.2</v>
      </c>
    </row>
    <row r="55" spans="2:7" ht="15" thickBot="1">
      <c r="B55" s="48" t="s">
        <v>198</v>
      </c>
      <c r="C55" s="53">
        <v>62.8</v>
      </c>
      <c r="D55" s="26">
        <v>58</v>
      </c>
    </row>
    <row r="56" spans="2:7" ht="15" thickBot="1">
      <c r="B56" s="48" t="s">
        <v>199</v>
      </c>
      <c r="C56" s="53">
        <v>31.3</v>
      </c>
      <c r="D56" s="26">
        <v>35.1</v>
      </c>
    </row>
    <row r="57" spans="2:7">
      <c r="B57" s="50" t="s">
        <v>200</v>
      </c>
      <c r="C57" s="55">
        <v>21.6</v>
      </c>
      <c r="D57" s="26">
        <v>22.6</v>
      </c>
    </row>
    <row r="58" spans="2:7">
      <c r="B58" s="50" t="s">
        <v>201</v>
      </c>
      <c r="C58" s="55" t="s">
        <v>176</v>
      </c>
      <c r="D58" s="56">
        <f>AVERAGE(C44:D57)</f>
        <v>32.714285714285715</v>
      </c>
    </row>
    <row r="60" spans="2:7" ht="87">
      <c r="B60" t="s">
        <v>40</v>
      </c>
      <c r="C60" s="1" t="s">
        <v>202</v>
      </c>
      <c r="D60" s="1" t="s">
        <v>203</v>
      </c>
      <c r="E60" s="1" t="s">
        <v>204</v>
      </c>
      <c r="F60" s="1" t="s">
        <v>205</v>
      </c>
      <c r="G60" s="1" t="s">
        <v>206</v>
      </c>
    </row>
    <row r="61" spans="2:7">
      <c r="B61" s="52" t="s">
        <v>69</v>
      </c>
      <c r="C61" s="13">
        <f>SUM(C62:C77)</f>
        <v>4651135801.0199995</v>
      </c>
      <c r="D61" s="13">
        <f>Tabela30[[#This Row],[Łączne wydatki na drogi wojewódzkie w zł w 2018]]*13.9%</f>
        <v>646507876.34177995</v>
      </c>
      <c r="E61" s="13">
        <f>Tabela30[[#This Row],[Łączne wydatki na drogi wojewódzkie w zł w 2018]]*32%</f>
        <v>1488363456.3263998</v>
      </c>
      <c r="F61" s="13">
        <f>Tabela30[[#This Row],[wydatki na utrzymanie wg średniej OECD 2016/2017 - 32%]]-Tabela30[[#This Row],[wydatki na utrzymanie wg OECD - 13,9% w 2017]]</f>
        <v>841855579.98461986</v>
      </c>
      <c r="G61" s="13">
        <f>Tabela30[[#This Row],[Łączne wydatki na drogi wojewódzkie w zł w 2018]]-Tabela30[[#This Row],[wydatki na utrzymanie wg średniej OECD 2016/2017 - 32%]]</f>
        <v>3162772344.6935997</v>
      </c>
    </row>
    <row r="62" spans="2:7">
      <c r="B62" s="46" t="s">
        <v>147</v>
      </c>
      <c r="C62" s="12">
        <v>379364991.34000003</v>
      </c>
      <c r="D62" s="13">
        <f>Tabela30[[#This Row],[Łączne wydatki na drogi wojewódzkie w zł w 2018]]*13.9%</f>
        <v>52731733.796260007</v>
      </c>
      <c r="E62" s="13">
        <f>Tabela30[[#This Row],[Łączne wydatki na drogi wojewódzkie w zł w 2018]]*32%</f>
        <v>121396797.22880001</v>
      </c>
      <c r="F62" s="13">
        <f>Tabela30[[#This Row],[wydatki na utrzymanie wg średniej OECD 2016/2017 - 32%]]-Tabela30[[#This Row],[wydatki na utrzymanie wg OECD - 13,9% w 2017]]</f>
        <v>68665063.432539999</v>
      </c>
      <c r="G62" s="13">
        <f>Tabela30[[#This Row],[Łączne wydatki na drogi wojewódzkie w zł w 2018]]-Tabela30[[#This Row],[wydatki na utrzymanie wg średniej OECD 2016/2017 - 32%]]</f>
        <v>257968194.11120003</v>
      </c>
    </row>
    <row r="63" spans="2:7">
      <c r="B63" s="46" t="s">
        <v>148</v>
      </c>
      <c r="C63" s="12">
        <v>174856839.99000001</v>
      </c>
      <c r="D63" s="13">
        <f>Tabela30[[#This Row],[Łączne wydatki na drogi wojewódzkie w zł w 2018]]*13.9%</f>
        <v>24305100.758610003</v>
      </c>
      <c r="E63" s="13">
        <f>Tabela30[[#This Row],[Łączne wydatki na drogi wojewódzkie w zł w 2018]]*32%</f>
        <v>55954188.796800002</v>
      </c>
      <c r="F63" s="13">
        <f>Tabela30[[#This Row],[wydatki na utrzymanie wg średniej OECD 2016/2017 - 32%]]-Tabela30[[#This Row],[wydatki na utrzymanie wg OECD - 13,9% w 2017]]</f>
        <v>31649088.03819</v>
      </c>
      <c r="G63" s="13">
        <f>Tabela30[[#This Row],[Łączne wydatki na drogi wojewódzkie w zł w 2018]]-Tabela30[[#This Row],[wydatki na utrzymanie wg średniej OECD 2016/2017 - 32%]]</f>
        <v>118902651.19320001</v>
      </c>
    </row>
    <row r="64" spans="2:7">
      <c r="B64" s="46" t="s">
        <v>149</v>
      </c>
      <c r="C64" s="12">
        <v>336161886.25999999</v>
      </c>
      <c r="D64" s="13">
        <f>Tabela30[[#This Row],[Łączne wydatki na drogi wojewódzkie w zł w 2018]]*13.9%</f>
        <v>46726502.190140001</v>
      </c>
      <c r="E64" s="13">
        <f>Tabela30[[#This Row],[Łączne wydatki na drogi wojewódzkie w zł w 2018]]*32%</f>
        <v>107571803.6032</v>
      </c>
      <c r="F64" s="13">
        <f>Tabela30[[#This Row],[wydatki na utrzymanie wg średniej OECD 2016/2017 - 32%]]-Tabela30[[#This Row],[wydatki na utrzymanie wg OECD - 13,9% w 2017]]</f>
        <v>60845301.413060002</v>
      </c>
      <c r="G64" s="13">
        <f>Tabela30[[#This Row],[Łączne wydatki na drogi wojewódzkie w zł w 2018]]-Tabela30[[#This Row],[wydatki na utrzymanie wg średniej OECD 2016/2017 - 32%]]</f>
        <v>228590082.65679997</v>
      </c>
    </row>
    <row r="65" spans="2:7">
      <c r="B65" s="46" t="s">
        <v>150</v>
      </c>
      <c r="C65" s="12">
        <v>142037247.63999999</v>
      </c>
      <c r="D65" s="13">
        <f>Tabela30[[#This Row],[Łączne wydatki na drogi wojewódzkie w zł w 2018]]*13.9%</f>
        <v>19743177.42196</v>
      </c>
      <c r="E65" s="13">
        <f>Tabela30[[#This Row],[Łączne wydatki na drogi wojewódzkie w zł w 2018]]*32%</f>
        <v>45451919.244799994</v>
      </c>
      <c r="F65" s="13">
        <f>Tabela30[[#This Row],[wydatki na utrzymanie wg średniej OECD 2016/2017 - 32%]]-Tabela30[[#This Row],[wydatki na utrzymanie wg OECD - 13,9% w 2017]]</f>
        <v>25708741.822839994</v>
      </c>
      <c r="G65" s="13">
        <f>Tabela30[[#This Row],[Łączne wydatki na drogi wojewódzkie w zł w 2018]]-Tabela30[[#This Row],[wydatki na utrzymanie wg średniej OECD 2016/2017 - 32%]]</f>
        <v>96585328.395199984</v>
      </c>
    </row>
    <row r="66" spans="2:7">
      <c r="B66" s="46" t="s">
        <v>151</v>
      </c>
      <c r="C66" s="12">
        <v>197782364.81999999</v>
      </c>
      <c r="D66" s="13">
        <f>Tabela30[[#This Row],[Łączne wydatki na drogi wojewódzkie w zł w 2018]]*13.9%</f>
        <v>27491748.70998</v>
      </c>
      <c r="E66" s="13">
        <f>Tabela30[[#This Row],[Łączne wydatki na drogi wojewódzkie w zł w 2018]]*32%</f>
        <v>63290356.742399998</v>
      </c>
      <c r="F66" s="13">
        <f>Tabela30[[#This Row],[wydatki na utrzymanie wg średniej OECD 2016/2017 - 32%]]-Tabela30[[#This Row],[wydatki na utrzymanie wg OECD - 13,9% w 2017]]</f>
        <v>35798608.032419994</v>
      </c>
      <c r="G66" s="13">
        <f>Tabela30[[#This Row],[Łączne wydatki na drogi wojewódzkie w zł w 2018]]-Tabela30[[#This Row],[wydatki na utrzymanie wg średniej OECD 2016/2017 - 32%]]</f>
        <v>134492008.0776</v>
      </c>
    </row>
    <row r="67" spans="2:7">
      <c r="B67" s="46" t="s">
        <v>152</v>
      </c>
      <c r="C67" s="12">
        <v>322592479.61000001</v>
      </c>
      <c r="D67" s="13">
        <f>Tabela30[[#This Row],[Łączne wydatki na drogi wojewódzkie w zł w 2018]]*13.9%</f>
        <v>44840354.665790007</v>
      </c>
      <c r="E67" s="13">
        <f>Tabela30[[#This Row],[Łączne wydatki na drogi wojewódzkie w zł w 2018]]*32%</f>
        <v>103229593.47520001</v>
      </c>
      <c r="F67" s="13">
        <f>Tabela30[[#This Row],[wydatki na utrzymanie wg średniej OECD 2016/2017 - 32%]]-Tabela30[[#This Row],[wydatki na utrzymanie wg OECD - 13,9% w 2017]]</f>
        <v>58389238.809410006</v>
      </c>
      <c r="G67" s="13">
        <f>Tabela30[[#This Row],[Łączne wydatki na drogi wojewódzkie w zł w 2018]]-Tabela30[[#This Row],[wydatki na utrzymanie wg średniej OECD 2016/2017 - 32%]]</f>
        <v>219362886.13480002</v>
      </c>
    </row>
    <row r="68" spans="2:7">
      <c r="B68" s="46" t="s">
        <v>153</v>
      </c>
      <c r="C68" s="12">
        <v>511090499.97000003</v>
      </c>
      <c r="D68" s="13">
        <f>Tabela30[[#This Row],[Łączne wydatki na drogi wojewódzkie w zł w 2018]]*13.9%</f>
        <v>71041579.495830014</v>
      </c>
      <c r="E68" s="13">
        <f>Tabela30[[#This Row],[Łączne wydatki na drogi wojewódzkie w zł w 2018]]*32%</f>
        <v>163548959.99040002</v>
      </c>
      <c r="F68" s="13">
        <f>Tabela30[[#This Row],[wydatki na utrzymanie wg średniej OECD 2016/2017 - 32%]]-Tabela30[[#This Row],[wydatki na utrzymanie wg OECD - 13,9% w 2017]]</f>
        <v>92507380.494570002</v>
      </c>
      <c r="G68" s="13">
        <f>Tabela30[[#This Row],[Łączne wydatki na drogi wojewódzkie w zł w 2018]]-Tabela30[[#This Row],[wydatki na utrzymanie wg średniej OECD 2016/2017 - 32%]]</f>
        <v>347541539.97960001</v>
      </c>
    </row>
    <row r="69" spans="2:7">
      <c r="B69" s="46" t="s">
        <v>154</v>
      </c>
      <c r="C69" s="12">
        <v>176079569.71000001</v>
      </c>
      <c r="D69" s="13">
        <f>Tabela30[[#This Row],[Łączne wydatki na drogi wojewódzkie w zł w 2018]]*13.9%</f>
        <v>24475060.189690005</v>
      </c>
      <c r="E69" s="13">
        <f>Tabela30[[#This Row],[Łączne wydatki na drogi wojewódzkie w zł w 2018]]*32%</f>
        <v>56345462.307200007</v>
      </c>
      <c r="F69" s="13">
        <f>Tabela30[[#This Row],[wydatki na utrzymanie wg średniej OECD 2016/2017 - 32%]]-Tabela30[[#This Row],[wydatki na utrzymanie wg OECD - 13,9% w 2017]]</f>
        <v>31870402.117510002</v>
      </c>
      <c r="G69" s="13">
        <f>Tabela30[[#This Row],[Łączne wydatki na drogi wojewódzkie w zł w 2018]]-Tabela30[[#This Row],[wydatki na utrzymanie wg średniej OECD 2016/2017 - 32%]]</f>
        <v>119734107.40279999</v>
      </c>
    </row>
    <row r="70" spans="2:7">
      <c r="B70" s="46" t="s">
        <v>155</v>
      </c>
      <c r="C70" s="12">
        <v>412272069.94999999</v>
      </c>
      <c r="D70" s="13">
        <f>Tabela30[[#This Row],[Łączne wydatki na drogi wojewódzkie w zł w 2018]]*13.9%</f>
        <v>57305817.723050006</v>
      </c>
      <c r="E70" s="13">
        <f>Tabela30[[#This Row],[Łączne wydatki na drogi wojewódzkie w zł w 2018]]*32%</f>
        <v>131927062.384</v>
      </c>
      <c r="F70" s="13">
        <f>Tabela30[[#This Row],[wydatki na utrzymanie wg średniej OECD 2016/2017 - 32%]]-Tabela30[[#This Row],[wydatki na utrzymanie wg OECD - 13,9% w 2017]]</f>
        <v>74621244.660950005</v>
      </c>
      <c r="G70" s="13">
        <f>Tabela30[[#This Row],[Łączne wydatki na drogi wojewódzkie w zł w 2018]]-Tabela30[[#This Row],[wydatki na utrzymanie wg średniej OECD 2016/2017 - 32%]]</f>
        <v>280345007.56599998</v>
      </c>
    </row>
    <row r="71" spans="2:7">
      <c r="B71" s="46" t="s">
        <v>156</v>
      </c>
      <c r="C71" s="12">
        <v>444221970.5</v>
      </c>
      <c r="D71" s="13">
        <f>Tabela30[[#This Row],[Łączne wydatki na drogi wojewódzkie w zł w 2018]]*13.9%</f>
        <v>61746853.899500005</v>
      </c>
      <c r="E71" s="13">
        <f>Tabela30[[#This Row],[Łączne wydatki na drogi wojewódzkie w zł w 2018]]*32%</f>
        <v>142151030.56</v>
      </c>
      <c r="F71" s="13">
        <f>Tabela30[[#This Row],[wydatki na utrzymanie wg średniej OECD 2016/2017 - 32%]]-Tabela30[[#This Row],[wydatki na utrzymanie wg OECD - 13,9% w 2017]]</f>
        <v>80404176.66049999</v>
      </c>
      <c r="G71" s="13">
        <f>Tabela30[[#This Row],[Łączne wydatki na drogi wojewódzkie w zł w 2018]]-Tabela30[[#This Row],[wydatki na utrzymanie wg średniej OECD 2016/2017 - 32%]]</f>
        <v>302070939.94</v>
      </c>
    </row>
    <row r="72" spans="2:7">
      <c r="B72" s="46" t="s">
        <v>157</v>
      </c>
      <c r="C72" s="12">
        <v>293699723.81</v>
      </c>
      <c r="D72" s="13">
        <f>Tabela30[[#This Row],[Łączne wydatki na drogi wojewódzkie w zł w 2018]]*13.9%</f>
        <v>40824261.609590001</v>
      </c>
      <c r="E72" s="13">
        <f>Tabela30[[#This Row],[Łączne wydatki na drogi wojewódzkie w zł w 2018]]*32%</f>
        <v>93983911.619200006</v>
      </c>
      <c r="F72" s="13">
        <f>Tabela30[[#This Row],[wydatki na utrzymanie wg średniej OECD 2016/2017 - 32%]]-Tabela30[[#This Row],[wydatki na utrzymanie wg OECD - 13,9% w 2017]]</f>
        <v>53159650.009610005</v>
      </c>
      <c r="G72" s="13">
        <f>Tabela30[[#This Row],[Łączne wydatki na drogi wojewódzkie w zł w 2018]]-Tabela30[[#This Row],[wydatki na utrzymanie wg średniej OECD 2016/2017 - 32%]]</f>
        <v>199715812.19080001</v>
      </c>
    </row>
    <row r="73" spans="2:7">
      <c r="B73" s="46" t="s">
        <v>158</v>
      </c>
      <c r="C73" s="12">
        <v>303155388.43000001</v>
      </c>
      <c r="D73" s="13">
        <f>Tabela30[[#This Row],[Łączne wydatki na drogi wojewódzkie w zł w 2018]]*13.9%</f>
        <v>42138598.991770007</v>
      </c>
      <c r="E73" s="13">
        <f>Tabela30[[#This Row],[Łączne wydatki na drogi wojewódzkie w zł w 2018]]*32%</f>
        <v>97009724.297600001</v>
      </c>
      <c r="F73" s="13">
        <f>Tabela30[[#This Row],[wydatki na utrzymanie wg średniej OECD 2016/2017 - 32%]]-Tabela30[[#This Row],[wydatki na utrzymanie wg OECD - 13,9% w 2017]]</f>
        <v>54871125.305829994</v>
      </c>
      <c r="G73" s="13">
        <f>Tabela30[[#This Row],[Łączne wydatki na drogi wojewódzkie w zł w 2018]]-Tabela30[[#This Row],[wydatki na utrzymanie wg średniej OECD 2016/2017 - 32%]]</f>
        <v>206145664.13240001</v>
      </c>
    </row>
    <row r="74" spans="2:7">
      <c r="B74" s="46" t="s">
        <v>159</v>
      </c>
      <c r="C74" s="12">
        <v>352343894.61000001</v>
      </c>
      <c r="D74" s="13">
        <f>Tabela30[[#This Row],[Łączne wydatki na drogi wojewódzkie w zł w 2018]]*13.9%</f>
        <v>48975801.350790009</v>
      </c>
      <c r="E74" s="13">
        <f>Tabela30[[#This Row],[Łączne wydatki na drogi wojewódzkie w zł w 2018]]*32%</f>
        <v>112750046.27520001</v>
      </c>
      <c r="F74" s="13">
        <f>Tabela30[[#This Row],[wydatki na utrzymanie wg średniej OECD 2016/2017 - 32%]]-Tabela30[[#This Row],[wydatki na utrzymanie wg OECD - 13,9% w 2017]]</f>
        <v>63774244.92441</v>
      </c>
      <c r="G74" s="13">
        <f>Tabela30[[#This Row],[Łączne wydatki na drogi wojewódzkie w zł w 2018]]-Tabela30[[#This Row],[wydatki na utrzymanie wg średniej OECD 2016/2017 - 32%]]</f>
        <v>239593848.3348</v>
      </c>
    </row>
    <row r="75" spans="2:7">
      <c r="B75" s="46" t="s">
        <v>160</v>
      </c>
      <c r="C75" s="12">
        <v>143831941.91</v>
      </c>
      <c r="D75" s="13">
        <f>Tabela30[[#This Row],[Łączne wydatki na drogi wojewódzkie w zł w 2018]]*13.9%</f>
        <v>19992639.925490003</v>
      </c>
      <c r="E75" s="13">
        <f>Tabela30[[#This Row],[Łączne wydatki na drogi wojewódzkie w zł w 2018]]*32%</f>
        <v>46026221.411200002</v>
      </c>
      <c r="F75" s="13">
        <f>Tabela30[[#This Row],[wydatki na utrzymanie wg średniej OECD 2016/2017 - 32%]]-Tabela30[[#This Row],[wydatki na utrzymanie wg OECD - 13,9% w 2017]]</f>
        <v>26033581.485709999</v>
      </c>
      <c r="G75" s="13">
        <f>Tabela30[[#This Row],[Łączne wydatki na drogi wojewódzkie w zł w 2018]]-Tabela30[[#This Row],[wydatki na utrzymanie wg średniej OECD 2016/2017 - 32%]]</f>
        <v>97805720.498799995</v>
      </c>
    </row>
    <row r="76" spans="2:7">
      <c r="B76" s="46" t="s">
        <v>161</v>
      </c>
      <c r="C76" s="12">
        <v>254541480.06</v>
      </c>
      <c r="D76" s="13">
        <f>Tabela30[[#This Row],[Łączne wydatki na drogi wojewódzkie w zł w 2018]]*13.9%</f>
        <v>35381265.72834</v>
      </c>
      <c r="E76" s="13">
        <f>Tabela30[[#This Row],[Łączne wydatki na drogi wojewódzkie w zł w 2018]]*32%</f>
        <v>81453273.619200006</v>
      </c>
      <c r="F76" s="13">
        <f>Tabela30[[#This Row],[wydatki na utrzymanie wg średniej OECD 2016/2017 - 32%]]-Tabela30[[#This Row],[wydatki na utrzymanie wg OECD - 13,9% w 2017]]</f>
        <v>46072007.890860006</v>
      </c>
      <c r="G76" s="13">
        <f>Tabela30[[#This Row],[Łączne wydatki na drogi wojewódzkie w zł w 2018]]-Tabela30[[#This Row],[wydatki na utrzymanie wg średniej OECD 2016/2017 - 32%]]</f>
        <v>173088206.44080001</v>
      </c>
    </row>
    <row r="77" spans="2:7">
      <c r="B77" s="46" t="s">
        <v>162</v>
      </c>
      <c r="C77" s="12">
        <v>207103452.41000003</v>
      </c>
      <c r="D77" s="13">
        <f>Tabela30[[#This Row],[Łączne wydatki na drogi wojewódzkie w zł w 2018]]*13.9%</f>
        <v>28787379.884990007</v>
      </c>
      <c r="E77" s="13">
        <f>Tabela30[[#This Row],[Łączne wydatki na drogi wojewódzkie w zł w 2018]]*32%</f>
        <v>66273104.771200009</v>
      </c>
      <c r="F77" s="13">
        <f>Tabela30[[#This Row],[wydatki na utrzymanie wg średniej OECD 2016/2017 - 32%]]-Tabela30[[#This Row],[wydatki na utrzymanie wg OECD - 13,9% w 2017]]</f>
        <v>37485724.886210002</v>
      </c>
      <c r="G77" s="13">
        <f>Tabela30[[#This Row],[Łączne wydatki na drogi wojewódzkie w zł w 2018]]-Tabela30[[#This Row],[wydatki na utrzymanie wg średniej OECD 2016/2017 - 32%]]</f>
        <v>140830347.63880002</v>
      </c>
    </row>
  </sheetData>
  <phoneticPr fontId="5" type="noConversion"/>
  <pageMargins left="0.7" right="0.7" top="0.75" bottom="0.75" header="0.3" footer="0.3"/>
  <tableParts count="6">
    <tablePart r:id="rId1"/>
    <tablePart r:id="rId2"/>
    <tablePart r:id="rId3"/>
    <tablePart r:id="rId4"/>
    <tablePart r:id="rId5"/>
    <tablePart r:id="rId6"/>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EEE39C-BEF9-4637-82D1-4452F6BF5BB1}">
  <dimension ref="B2:L134"/>
  <sheetViews>
    <sheetView tabSelected="1" topLeftCell="A85" zoomScale="80" zoomScaleNormal="80" workbookViewId="0">
      <selection activeCell="F90" sqref="F90"/>
    </sheetView>
  </sheetViews>
  <sheetFormatPr defaultRowHeight="14.5"/>
  <cols>
    <col min="2" max="2" width="29.36328125" customWidth="1"/>
    <col min="3" max="3" width="33" customWidth="1"/>
    <col min="4" max="4" width="56.26953125" customWidth="1"/>
    <col min="5" max="5" width="39.81640625" customWidth="1"/>
    <col min="6" max="6" width="38.453125" customWidth="1"/>
    <col min="7" max="7" width="11.26953125" customWidth="1"/>
    <col min="8" max="8" width="9.36328125" customWidth="1"/>
    <col min="9" max="9" width="30.90625" customWidth="1"/>
    <col min="10" max="12" width="31.90625" customWidth="1"/>
  </cols>
  <sheetData>
    <row r="2" spans="2:6">
      <c r="B2" s="60" t="s">
        <v>208</v>
      </c>
      <c r="C2" s="59" t="s">
        <v>46</v>
      </c>
      <c r="D2" s="59" t="s">
        <v>45</v>
      </c>
      <c r="E2" s="59" t="s">
        <v>44</v>
      </c>
      <c r="F2" s="59" t="s">
        <v>43</v>
      </c>
    </row>
    <row r="3" spans="2:6">
      <c r="B3" s="61"/>
      <c r="C3" s="38" t="s">
        <v>74</v>
      </c>
      <c r="D3" s="38" t="s">
        <v>74</v>
      </c>
      <c r="E3" s="38" t="s">
        <v>74</v>
      </c>
      <c r="F3" s="38" t="s">
        <v>74</v>
      </c>
    </row>
    <row r="4" spans="2:6">
      <c r="B4" s="57" t="s">
        <v>69</v>
      </c>
      <c r="C4" s="58">
        <v>424522.8</v>
      </c>
      <c r="D4" s="58">
        <v>422261.99999999994</v>
      </c>
      <c r="E4" s="58">
        <v>420192.7</v>
      </c>
      <c r="F4" s="58">
        <v>419584.2</v>
      </c>
    </row>
    <row r="5" spans="2:6">
      <c r="B5" s="57" t="s">
        <v>147</v>
      </c>
      <c r="C5" s="58">
        <v>24332.800000000003</v>
      </c>
      <c r="D5" s="58">
        <v>23789.7</v>
      </c>
      <c r="E5" s="58">
        <v>23870.799999999999</v>
      </c>
      <c r="F5" s="58">
        <v>23804.399999999998</v>
      </c>
    </row>
    <row r="6" spans="2:6">
      <c r="B6" s="57" t="s">
        <v>148</v>
      </c>
      <c r="C6" s="58">
        <v>27510</v>
      </c>
      <c r="D6" s="58">
        <v>27439.200000000001</v>
      </c>
      <c r="E6" s="58">
        <v>27383.100000000006</v>
      </c>
      <c r="F6" s="58">
        <v>26982.6</v>
      </c>
    </row>
    <row r="7" spans="2:6">
      <c r="B7" s="57" t="s">
        <v>149</v>
      </c>
      <c r="C7" s="58">
        <v>38113.399999999994</v>
      </c>
      <c r="D7" s="58">
        <v>36993.799999999996</v>
      </c>
      <c r="E7" s="58">
        <v>36499.4</v>
      </c>
      <c r="F7" s="58">
        <v>36207.599999999999</v>
      </c>
    </row>
    <row r="8" spans="2:6">
      <c r="B8" s="57" t="s">
        <v>150</v>
      </c>
      <c r="C8" s="58">
        <v>15578.3</v>
      </c>
      <c r="D8" s="58">
        <v>15453.900000000001</v>
      </c>
      <c r="E8" s="58">
        <v>15100.5</v>
      </c>
      <c r="F8" s="58">
        <v>14966.8</v>
      </c>
    </row>
    <row r="9" spans="2:6">
      <c r="B9" s="57" t="s">
        <v>151</v>
      </c>
      <c r="C9" s="58">
        <v>26045.800000000003</v>
      </c>
      <c r="D9" s="58">
        <v>26055.5</v>
      </c>
      <c r="E9" s="58">
        <v>26121.5</v>
      </c>
      <c r="F9" s="58">
        <v>26260.7</v>
      </c>
    </row>
    <row r="10" spans="2:6">
      <c r="B10" s="57" t="s">
        <v>152</v>
      </c>
      <c r="C10" s="58">
        <v>31444</v>
      </c>
      <c r="D10" s="58">
        <v>31542.5</v>
      </c>
      <c r="E10" s="58">
        <v>30597.1</v>
      </c>
      <c r="F10" s="58">
        <v>30152.9</v>
      </c>
    </row>
    <row r="11" spans="2:6">
      <c r="B11" s="57" t="s">
        <v>153</v>
      </c>
      <c r="C11" s="58">
        <v>54997.5</v>
      </c>
      <c r="D11" s="58">
        <v>54679.6</v>
      </c>
      <c r="E11" s="58">
        <v>54406.200000000004</v>
      </c>
      <c r="F11" s="58">
        <v>54149.2</v>
      </c>
    </row>
    <row r="12" spans="2:6">
      <c r="B12" s="57" t="s">
        <v>154</v>
      </c>
      <c r="C12" s="58">
        <v>10504.8</v>
      </c>
      <c r="D12" s="58">
        <v>10469.199999999999</v>
      </c>
      <c r="E12" s="58">
        <v>10473.700000000001</v>
      </c>
      <c r="F12" s="58">
        <v>10480.899999999998</v>
      </c>
    </row>
    <row r="13" spans="2:6">
      <c r="B13" s="57" t="s">
        <v>155</v>
      </c>
      <c r="C13" s="58">
        <v>21118.899999999998</v>
      </c>
      <c r="D13" s="58">
        <v>20971.7</v>
      </c>
      <c r="E13" s="58">
        <v>21096</v>
      </c>
      <c r="F13" s="58">
        <v>20835</v>
      </c>
    </row>
    <row r="14" spans="2:6">
      <c r="B14" s="57" t="s">
        <v>156</v>
      </c>
      <c r="C14" s="58">
        <v>26673.5</v>
      </c>
      <c r="D14" s="58">
        <v>26933.200000000004</v>
      </c>
      <c r="E14" s="58">
        <v>26524.1</v>
      </c>
      <c r="F14" s="58">
        <v>26596.499999999996</v>
      </c>
    </row>
    <row r="15" spans="2:6">
      <c r="B15" s="57" t="s">
        <v>157</v>
      </c>
      <c r="C15" s="58">
        <v>22719.899999999998</v>
      </c>
      <c r="D15" s="58">
        <v>22654.2</v>
      </c>
      <c r="E15" s="58">
        <v>22630.9</v>
      </c>
      <c r="F15" s="58">
        <v>22804</v>
      </c>
    </row>
    <row r="16" spans="2:6">
      <c r="B16" s="57" t="s">
        <v>158</v>
      </c>
      <c r="C16" s="58">
        <v>24756.199999999997</v>
      </c>
      <c r="D16" s="58">
        <v>24911.100000000002</v>
      </c>
      <c r="E16" s="58">
        <v>25398.700000000004</v>
      </c>
      <c r="F16" s="58">
        <v>25416.400000000001</v>
      </c>
    </row>
    <row r="17" spans="2:12">
      <c r="B17" s="57" t="s">
        <v>159</v>
      </c>
      <c r="C17" s="58">
        <v>17491.699999999997</v>
      </c>
      <c r="D17" s="58">
        <v>17516.8</v>
      </c>
      <c r="E17" s="58">
        <v>17715.599999999999</v>
      </c>
      <c r="F17" s="58">
        <v>17489.600000000002</v>
      </c>
    </row>
    <row r="18" spans="2:12">
      <c r="B18" s="57" t="s">
        <v>160</v>
      </c>
      <c r="C18" s="58">
        <v>22360</v>
      </c>
      <c r="D18" s="58">
        <v>22208.6</v>
      </c>
      <c r="E18" s="58">
        <v>22053.800000000003</v>
      </c>
      <c r="F18" s="58">
        <v>22740.100000000002</v>
      </c>
    </row>
    <row r="19" spans="2:12">
      <c r="B19" s="57" t="s">
        <v>161</v>
      </c>
      <c r="C19" s="58">
        <v>41027.199999999997</v>
      </c>
      <c r="D19" s="58">
        <v>40825.9</v>
      </c>
      <c r="E19" s="58">
        <v>40753.599999999999</v>
      </c>
      <c r="F19" s="58">
        <v>40778.199999999997</v>
      </c>
    </row>
    <row r="20" spans="2:12">
      <c r="B20" s="57" t="s">
        <v>162</v>
      </c>
      <c r="C20" s="58">
        <v>19848.8</v>
      </c>
      <c r="D20" s="58">
        <v>19817.100000000002</v>
      </c>
      <c r="E20" s="58">
        <v>19567.700000000004</v>
      </c>
      <c r="F20" s="58">
        <v>19919.300000000003</v>
      </c>
    </row>
    <row r="22" spans="2:12">
      <c r="B22" t="s">
        <v>207</v>
      </c>
      <c r="C22" t="s">
        <v>209</v>
      </c>
      <c r="D22" t="s">
        <v>211</v>
      </c>
      <c r="E22" t="s">
        <v>212</v>
      </c>
      <c r="F22" t="s">
        <v>213</v>
      </c>
      <c r="G22" t="s">
        <v>214</v>
      </c>
      <c r="H22" t="s">
        <v>215</v>
      </c>
      <c r="I22" t="s">
        <v>210</v>
      </c>
      <c r="J22" t="s">
        <v>216</v>
      </c>
      <c r="K22" t="s">
        <v>217</v>
      </c>
      <c r="L22" t="s">
        <v>218</v>
      </c>
    </row>
    <row r="23" spans="2:12">
      <c r="C23" t="s">
        <v>46</v>
      </c>
      <c r="D23">
        <v>2017</v>
      </c>
      <c r="E23">
        <v>2016</v>
      </c>
      <c r="F23">
        <v>2015</v>
      </c>
      <c r="I23" t="s">
        <v>46</v>
      </c>
      <c r="J23">
        <v>2017</v>
      </c>
      <c r="K23">
        <v>2016</v>
      </c>
      <c r="L23">
        <v>2015</v>
      </c>
    </row>
    <row r="24" spans="2:12">
      <c r="C24" t="s">
        <v>74</v>
      </c>
      <c r="D24" t="s">
        <v>74</v>
      </c>
      <c r="E24" t="s">
        <v>74</v>
      </c>
      <c r="F24" t="s">
        <v>74</v>
      </c>
      <c r="I24" t="s">
        <v>74</v>
      </c>
      <c r="J24" t="s">
        <v>74</v>
      </c>
      <c r="K24" t="s">
        <v>74</v>
      </c>
      <c r="L24" t="s">
        <v>74</v>
      </c>
    </row>
    <row r="25" spans="2:12">
      <c r="B25" t="s">
        <v>69</v>
      </c>
      <c r="C25">
        <v>120566</v>
      </c>
      <c r="D25">
        <v>122617.40000000001</v>
      </c>
      <c r="E25">
        <v>125880.09999999999</v>
      </c>
      <c r="F25">
        <v>128665.1</v>
      </c>
      <c r="H25" t="s">
        <v>69</v>
      </c>
      <c r="I25">
        <v>255670.40000000002</v>
      </c>
      <c r="J25">
        <v>251191.80000000002</v>
      </c>
      <c r="K25">
        <v>246047.5</v>
      </c>
      <c r="L25">
        <v>242569.90000000002</v>
      </c>
    </row>
    <row r="26" spans="2:12">
      <c r="B26" t="s">
        <v>147</v>
      </c>
      <c r="C26">
        <v>4109.6000000000004</v>
      </c>
      <c r="D26">
        <v>4138.2</v>
      </c>
      <c r="E26">
        <v>4360.2</v>
      </c>
      <c r="F26">
        <v>4404.5</v>
      </c>
      <c r="H26" t="s">
        <v>147</v>
      </c>
      <c r="I26">
        <v>16632.7</v>
      </c>
      <c r="J26">
        <v>15867.8</v>
      </c>
      <c r="K26">
        <v>15746.4</v>
      </c>
      <c r="L26">
        <v>15592.400000000001</v>
      </c>
    </row>
    <row r="27" spans="2:12">
      <c r="B27" t="s">
        <v>148</v>
      </c>
      <c r="C27">
        <v>8925.5</v>
      </c>
      <c r="D27">
        <v>9095.8000000000011</v>
      </c>
      <c r="E27">
        <v>9706.6</v>
      </c>
      <c r="F27">
        <v>9719.5</v>
      </c>
      <c r="H27" t="s">
        <v>148</v>
      </c>
      <c r="I27">
        <v>15632.9</v>
      </c>
      <c r="J27">
        <v>15355</v>
      </c>
      <c r="K27">
        <v>14705.599999999999</v>
      </c>
      <c r="L27">
        <v>14342.7</v>
      </c>
    </row>
    <row r="28" spans="2:12">
      <c r="B28" t="s">
        <v>149</v>
      </c>
      <c r="C28">
        <v>14596.800000000001</v>
      </c>
      <c r="D28">
        <v>14704</v>
      </c>
      <c r="E28">
        <v>14549.6</v>
      </c>
      <c r="F28">
        <v>14626.2</v>
      </c>
      <c r="H28" t="s">
        <v>149</v>
      </c>
      <c r="I28">
        <v>20176.599999999999</v>
      </c>
      <c r="J28">
        <v>18957.3</v>
      </c>
      <c r="K28">
        <v>18607.2</v>
      </c>
      <c r="L28">
        <v>18256.400000000001</v>
      </c>
    </row>
    <row r="29" spans="2:12">
      <c r="B29" t="s">
        <v>150</v>
      </c>
      <c r="C29">
        <v>6615.8</v>
      </c>
      <c r="D29">
        <v>6602.9000000000005</v>
      </c>
      <c r="E29">
        <v>6390</v>
      </c>
      <c r="F29">
        <v>6358.7000000000007</v>
      </c>
      <c r="H29" t="s">
        <v>150</v>
      </c>
      <c r="I29">
        <v>6461.7</v>
      </c>
      <c r="J29">
        <v>6346.4</v>
      </c>
      <c r="K29">
        <v>6208.7000000000007</v>
      </c>
      <c r="L29">
        <v>6105.9</v>
      </c>
    </row>
    <row r="30" spans="2:12">
      <c r="B30" t="s">
        <v>151</v>
      </c>
      <c r="C30">
        <v>5240</v>
      </c>
      <c r="D30">
        <v>5344.5999999999995</v>
      </c>
      <c r="E30">
        <v>5726.1</v>
      </c>
      <c r="F30">
        <v>6110.2</v>
      </c>
      <c r="H30" t="s">
        <v>151</v>
      </c>
      <c r="I30">
        <v>17956.5</v>
      </c>
      <c r="J30">
        <v>17868.599999999999</v>
      </c>
      <c r="K30">
        <v>17596</v>
      </c>
      <c r="L30">
        <v>17369</v>
      </c>
    </row>
    <row r="31" spans="2:12">
      <c r="B31" t="s">
        <v>152</v>
      </c>
      <c r="C31">
        <v>5599.2</v>
      </c>
      <c r="D31">
        <v>5647.4</v>
      </c>
      <c r="E31">
        <v>5654</v>
      </c>
      <c r="F31">
        <v>5504.7000000000007</v>
      </c>
      <c r="H31" t="s">
        <v>152</v>
      </c>
      <c r="I31">
        <v>23332.7</v>
      </c>
      <c r="J31">
        <v>23383.599999999999</v>
      </c>
      <c r="K31">
        <v>22436.6</v>
      </c>
      <c r="L31">
        <v>22106.800000000003</v>
      </c>
    </row>
    <row r="32" spans="2:12">
      <c r="B32" t="s">
        <v>153</v>
      </c>
      <c r="C32">
        <v>16328.699999999999</v>
      </c>
      <c r="D32">
        <v>16701.2</v>
      </c>
      <c r="E32">
        <v>17313.8</v>
      </c>
      <c r="F32">
        <v>17643.400000000001</v>
      </c>
      <c r="H32" t="s">
        <v>153</v>
      </c>
      <c r="I32">
        <v>33224.6</v>
      </c>
      <c r="J32">
        <v>32555.9</v>
      </c>
      <c r="K32">
        <v>31648.199999999997</v>
      </c>
      <c r="L32">
        <v>31082.2</v>
      </c>
    </row>
    <row r="33" spans="2:12">
      <c r="B33" t="s">
        <v>154</v>
      </c>
      <c r="C33">
        <v>1971.8</v>
      </c>
      <c r="D33">
        <v>1974.5</v>
      </c>
      <c r="E33">
        <v>2063.3000000000002</v>
      </c>
      <c r="F33">
        <v>2081.3000000000002</v>
      </c>
      <c r="H33" t="s">
        <v>154</v>
      </c>
      <c r="I33">
        <v>6758</v>
      </c>
      <c r="J33">
        <v>6708.1</v>
      </c>
      <c r="K33">
        <v>6645</v>
      </c>
      <c r="L33">
        <v>6634.2</v>
      </c>
    </row>
    <row r="34" spans="2:12">
      <c r="B34" t="s">
        <v>155</v>
      </c>
      <c r="C34">
        <v>4031.8999999999996</v>
      </c>
      <c r="D34">
        <v>4163.8</v>
      </c>
      <c r="E34">
        <v>4379.8999999999996</v>
      </c>
      <c r="F34">
        <v>4379.3999999999996</v>
      </c>
      <c r="H34" t="s">
        <v>155</v>
      </c>
      <c r="I34">
        <v>14438.3</v>
      </c>
      <c r="J34">
        <v>14173</v>
      </c>
      <c r="K34">
        <v>14102.900000000001</v>
      </c>
      <c r="L34">
        <v>13881.2</v>
      </c>
    </row>
    <row r="35" spans="2:12">
      <c r="B35" t="s">
        <v>156</v>
      </c>
      <c r="C35">
        <v>13233.8</v>
      </c>
      <c r="D35">
        <v>13577.5</v>
      </c>
      <c r="E35">
        <v>13378.8</v>
      </c>
      <c r="F35">
        <v>13671.9</v>
      </c>
      <c r="H35" t="s">
        <v>156</v>
      </c>
      <c r="I35">
        <v>11110.5</v>
      </c>
      <c r="J35">
        <v>11029.1</v>
      </c>
      <c r="K35">
        <v>10909.3</v>
      </c>
      <c r="L35">
        <v>10650.7</v>
      </c>
    </row>
    <row r="36" spans="2:12">
      <c r="B36" t="s">
        <v>157</v>
      </c>
      <c r="C36">
        <v>8436.5</v>
      </c>
      <c r="D36">
        <v>8749.9</v>
      </c>
      <c r="E36">
        <v>9185.1</v>
      </c>
      <c r="F36">
        <v>9421.6</v>
      </c>
      <c r="H36" t="s">
        <v>157</v>
      </c>
      <c r="I36">
        <v>11535.400000000001</v>
      </c>
      <c r="J36">
        <v>11168</v>
      </c>
      <c r="K36">
        <v>10714</v>
      </c>
      <c r="L36">
        <v>10668.2</v>
      </c>
    </row>
    <row r="37" spans="2:12">
      <c r="B37" t="s">
        <v>158</v>
      </c>
      <c r="C37">
        <v>3014.3</v>
      </c>
      <c r="D37">
        <v>3104</v>
      </c>
      <c r="E37">
        <v>3636.5</v>
      </c>
      <c r="F37">
        <v>3767.8</v>
      </c>
      <c r="H37" t="s">
        <v>158</v>
      </c>
      <c r="I37">
        <v>19027.5</v>
      </c>
      <c r="J37">
        <v>19082.5</v>
      </c>
      <c r="K37">
        <v>19010.7</v>
      </c>
      <c r="L37">
        <v>18908.900000000001</v>
      </c>
    </row>
    <row r="38" spans="2:12">
      <c r="B38" t="s">
        <v>159</v>
      </c>
      <c r="C38">
        <v>2859.2</v>
      </c>
      <c r="D38">
        <v>3065.1</v>
      </c>
      <c r="E38">
        <v>3441.2</v>
      </c>
      <c r="F38">
        <v>3363.6000000000004</v>
      </c>
      <c r="H38" t="s">
        <v>159</v>
      </c>
      <c r="I38">
        <v>12802</v>
      </c>
      <c r="J38">
        <v>12611.8</v>
      </c>
      <c r="K38">
        <v>12433.2</v>
      </c>
      <c r="L38">
        <v>12284.400000000001</v>
      </c>
    </row>
    <row r="39" spans="2:12">
      <c r="B39" t="s">
        <v>160</v>
      </c>
      <c r="C39">
        <v>8517</v>
      </c>
      <c r="D39">
        <v>8585.6999999999989</v>
      </c>
      <c r="E39">
        <v>8664.7000000000007</v>
      </c>
      <c r="F39">
        <v>9400</v>
      </c>
      <c r="H39" t="s">
        <v>160</v>
      </c>
      <c r="I39">
        <v>10591.9</v>
      </c>
      <c r="J39">
        <v>10376</v>
      </c>
      <c r="K39">
        <v>10146</v>
      </c>
      <c r="L39">
        <v>10070.900000000001</v>
      </c>
    </row>
    <row r="40" spans="2:12">
      <c r="B40" t="s">
        <v>161</v>
      </c>
      <c r="C40">
        <v>11256.2</v>
      </c>
      <c r="D40">
        <v>11359.8</v>
      </c>
      <c r="E40">
        <v>11805.699999999999</v>
      </c>
      <c r="F40">
        <v>12314.7</v>
      </c>
      <c r="H40" t="s">
        <v>161</v>
      </c>
      <c r="I40">
        <v>25245.4</v>
      </c>
      <c r="J40">
        <v>24962.9</v>
      </c>
      <c r="K40">
        <v>24464</v>
      </c>
      <c r="L40">
        <v>23915.199999999997</v>
      </c>
    </row>
    <row r="41" spans="2:12">
      <c r="B41" t="s">
        <v>162</v>
      </c>
      <c r="C41">
        <v>5829.7</v>
      </c>
      <c r="D41">
        <v>5803</v>
      </c>
      <c r="E41">
        <v>5624.5999999999995</v>
      </c>
      <c r="F41">
        <v>5897.6</v>
      </c>
      <c r="H41" t="s">
        <v>162</v>
      </c>
      <c r="I41">
        <v>10743.7</v>
      </c>
      <c r="J41">
        <v>10745.8</v>
      </c>
      <c r="K41">
        <v>10673.7</v>
      </c>
      <c r="L41">
        <v>10700.8</v>
      </c>
    </row>
    <row r="43" spans="2:12">
      <c r="B43" t="s">
        <v>207</v>
      </c>
      <c r="C43" t="s">
        <v>219</v>
      </c>
      <c r="D43" t="s">
        <v>220</v>
      </c>
    </row>
    <row r="44" spans="2:12">
      <c r="C44" t="s">
        <v>46</v>
      </c>
      <c r="D44" t="s">
        <v>46</v>
      </c>
    </row>
    <row r="45" spans="2:12">
      <c r="C45" t="s">
        <v>74</v>
      </c>
      <c r="D45" t="s">
        <v>74</v>
      </c>
    </row>
    <row r="46" spans="2:12">
      <c r="B46" t="s">
        <v>69</v>
      </c>
      <c r="C46" s="2">
        <v>251664</v>
      </c>
      <c r="D46" s="2">
        <v>124572.4</v>
      </c>
    </row>
    <row r="47" spans="2:12">
      <c r="B47" t="s">
        <v>147</v>
      </c>
      <c r="C47" s="2">
        <v>12325.6</v>
      </c>
      <c r="D47" s="2">
        <v>8416.7000000000007</v>
      </c>
    </row>
    <row r="48" spans="2:12">
      <c r="B48" t="s">
        <v>148</v>
      </c>
      <c r="C48" s="2">
        <v>17523.2</v>
      </c>
      <c r="D48" s="2">
        <v>7035.2</v>
      </c>
    </row>
    <row r="49" spans="2:4">
      <c r="B49" t="s">
        <v>149</v>
      </c>
      <c r="C49" s="2">
        <v>24179.4</v>
      </c>
      <c r="D49" s="2">
        <v>10594</v>
      </c>
    </row>
    <row r="50" spans="2:4">
      <c r="B50" t="s">
        <v>150</v>
      </c>
      <c r="C50" s="2">
        <v>8915.2000000000007</v>
      </c>
      <c r="D50" s="2">
        <v>4162.3</v>
      </c>
    </row>
    <row r="51" spans="2:4">
      <c r="B51" t="s">
        <v>151</v>
      </c>
      <c r="C51" s="2">
        <v>15404.2</v>
      </c>
      <c r="D51" s="2">
        <v>7792.3</v>
      </c>
    </row>
    <row r="52" spans="2:4">
      <c r="B52" t="s">
        <v>152</v>
      </c>
      <c r="C52" s="2">
        <v>22306.799999999999</v>
      </c>
      <c r="D52" s="2">
        <v>6625.0999999999995</v>
      </c>
    </row>
    <row r="53" spans="2:4">
      <c r="B53" t="s">
        <v>153</v>
      </c>
      <c r="C53" s="2">
        <v>34411.699999999997</v>
      </c>
      <c r="D53" s="2">
        <v>15141.599999999999</v>
      </c>
    </row>
    <row r="54" spans="2:4">
      <c r="B54" t="s">
        <v>154</v>
      </c>
      <c r="C54" s="2">
        <v>4839.8</v>
      </c>
      <c r="D54" s="2">
        <v>3890</v>
      </c>
    </row>
    <row r="55" spans="2:4">
      <c r="B55" t="s">
        <v>155</v>
      </c>
      <c r="C55" s="2">
        <v>11782</v>
      </c>
      <c r="D55" s="2">
        <v>6688.2</v>
      </c>
    </row>
    <row r="56" spans="2:4">
      <c r="B56" t="s">
        <v>156</v>
      </c>
      <c r="C56" s="2">
        <v>16673.099999999999</v>
      </c>
      <c r="D56" s="2">
        <v>7671.2</v>
      </c>
    </row>
    <row r="57" spans="2:4">
      <c r="B57" t="s">
        <v>157</v>
      </c>
      <c r="C57" s="2">
        <v>14257.7</v>
      </c>
      <c r="D57" s="2">
        <v>5714.2000000000007</v>
      </c>
    </row>
    <row r="58" spans="2:4">
      <c r="B58" t="s">
        <v>158</v>
      </c>
      <c r="C58" s="2">
        <v>15691</v>
      </c>
      <c r="D58" s="2">
        <v>6350.7999999999993</v>
      </c>
    </row>
    <row r="59" spans="2:4">
      <c r="B59" t="s">
        <v>159</v>
      </c>
      <c r="C59" s="2">
        <v>9461.2999999999993</v>
      </c>
      <c r="D59" s="2">
        <v>6199.9</v>
      </c>
    </row>
    <row r="60" spans="2:4">
      <c r="B60" t="s">
        <v>160</v>
      </c>
      <c r="C60" s="2">
        <v>10695.2</v>
      </c>
      <c r="D60" s="2">
        <v>8413.7000000000007</v>
      </c>
    </row>
    <row r="61" spans="2:4">
      <c r="B61" t="s">
        <v>161</v>
      </c>
      <c r="C61" s="2">
        <v>24306.1</v>
      </c>
      <c r="D61" s="2">
        <v>12195.5</v>
      </c>
    </row>
    <row r="62" spans="2:4">
      <c r="B62" t="s">
        <v>162</v>
      </c>
      <c r="C62" s="2">
        <v>8891.7000000000007</v>
      </c>
      <c r="D62" s="2">
        <v>7681.7</v>
      </c>
    </row>
    <row r="64" spans="2:4">
      <c r="B64" t="s">
        <v>223</v>
      </c>
      <c r="C64" t="s">
        <v>224</v>
      </c>
      <c r="D64" t="s">
        <v>225</v>
      </c>
    </row>
    <row r="65" spans="2:6">
      <c r="B65" s="63" t="s">
        <v>221</v>
      </c>
      <c r="C65" s="62">
        <v>0.36</v>
      </c>
      <c r="D65" s="62">
        <v>0.36</v>
      </c>
      <c r="E65" s="57"/>
    </row>
    <row r="66" spans="2:6">
      <c r="B66" s="67" t="s">
        <v>226</v>
      </c>
      <c r="C66" s="32">
        <v>0.35</v>
      </c>
      <c r="D66" s="32">
        <v>0.35</v>
      </c>
      <c r="E66" s="65"/>
    </row>
    <row r="67" spans="2:6" ht="29">
      <c r="B67" s="63" t="s">
        <v>222</v>
      </c>
      <c r="C67" s="68">
        <f>1-C66-C65</f>
        <v>0.29000000000000004</v>
      </c>
      <c r="D67" s="68">
        <f>1-D66-D65</f>
        <v>0.29000000000000004</v>
      </c>
      <c r="E67" s="57"/>
    </row>
    <row r="69" spans="2:6">
      <c r="B69" t="s">
        <v>223</v>
      </c>
      <c r="C69" t="s">
        <v>224</v>
      </c>
      <c r="D69" t="s">
        <v>225</v>
      </c>
    </row>
    <row r="70" spans="2:6">
      <c r="B70" s="63" t="s">
        <v>221</v>
      </c>
      <c r="C70" s="69">
        <f>C65*C46</f>
        <v>90599.039999999994</v>
      </c>
      <c r="D70" s="69">
        <f>D65*D46</f>
        <v>44846.063999999998</v>
      </c>
    </row>
    <row r="71" spans="2:6">
      <c r="B71" s="67" t="s">
        <v>226</v>
      </c>
      <c r="C71" s="12">
        <f>C66*C46</f>
        <v>88082.4</v>
      </c>
      <c r="D71" s="12">
        <f>D66*D46</f>
        <v>43600.34</v>
      </c>
    </row>
    <row r="72" spans="2:6" ht="29">
      <c r="B72" s="63" t="s">
        <v>222</v>
      </c>
      <c r="C72" s="69">
        <f>C46*C67</f>
        <v>72982.560000000012</v>
      </c>
      <c r="D72" s="69">
        <f>D46*D67</f>
        <v>36125.995999999999</v>
      </c>
    </row>
    <row r="74" spans="2:6">
      <c r="B74" t="s">
        <v>223</v>
      </c>
      <c r="C74" t="s">
        <v>224</v>
      </c>
      <c r="D74" t="s">
        <v>225</v>
      </c>
      <c r="E74" t="s">
        <v>52</v>
      </c>
    </row>
    <row r="75" spans="2:6">
      <c r="B75" s="63" t="s">
        <v>221</v>
      </c>
      <c r="C75" s="69">
        <f>C70+C71</f>
        <v>178681.44</v>
      </c>
      <c r="D75" s="69">
        <f>D70+D71</f>
        <v>88446.403999999995</v>
      </c>
      <c r="E75" s="13">
        <f>Tabela353738[[#This Row],[stan dróg powiatowych]]+Tabela353738[[#This Row],[stan dróg gminnych]]</f>
        <v>267127.84399999998</v>
      </c>
    </row>
    <row r="76" spans="2:6" ht="29">
      <c r="B76" s="67" t="s">
        <v>227</v>
      </c>
      <c r="C76" s="12">
        <f>C72</f>
        <v>72982.560000000012</v>
      </c>
      <c r="D76" s="12">
        <f>D72</f>
        <v>36125.995999999999</v>
      </c>
      <c r="E76" s="13">
        <f>Tabela353738[[#This Row],[stan dróg powiatowych]]+Tabela353738[[#This Row],[stan dróg gminnych]]</f>
        <v>109108.55600000001</v>
      </c>
    </row>
    <row r="78" spans="2:6">
      <c r="B78" s="1"/>
      <c r="D78" s="2"/>
    </row>
    <row r="79" spans="2:6">
      <c r="B79" t="s">
        <v>230</v>
      </c>
      <c r="C79" t="s">
        <v>231</v>
      </c>
      <c r="D79" t="s">
        <v>232</v>
      </c>
      <c r="E79" t="s">
        <v>233</v>
      </c>
      <c r="F79" t="s">
        <v>234</v>
      </c>
    </row>
    <row r="80" spans="2:6" ht="29">
      <c r="B80" s="63" t="s">
        <v>235</v>
      </c>
      <c r="C80" s="63">
        <v>154</v>
      </c>
      <c r="D80" s="71">
        <v>1986769536.1099989</v>
      </c>
      <c r="E80" s="71">
        <v>63.59</v>
      </c>
      <c r="F80" s="71">
        <f>D80/E80</f>
        <v>31243427.207265276</v>
      </c>
    </row>
    <row r="81" spans="2:6" ht="29">
      <c r="B81" s="63" t="s">
        <v>236</v>
      </c>
      <c r="C81" s="63">
        <v>296</v>
      </c>
      <c r="D81" s="71">
        <v>3676576868.7599998</v>
      </c>
      <c r="E81" s="71">
        <v>800.26</v>
      </c>
      <c r="F81" s="71">
        <f>D81/E81</f>
        <v>4594227.9618623946</v>
      </c>
    </row>
    <row r="82" spans="2:6" ht="29">
      <c r="B82" s="63" t="s">
        <v>237</v>
      </c>
      <c r="C82" s="63">
        <v>175</v>
      </c>
      <c r="D82" s="71">
        <v>1938110033.6899991</v>
      </c>
      <c r="E82" s="71">
        <v>71.930000000000007</v>
      </c>
      <c r="F82" s="71">
        <f>D82/E82</f>
        <v>26944390.847907674</v>
      </c>
    </row>
    <row r="83" spans="2:6" ht="29">
      <c r="B83" s="63" t="s">
        <v>238</v>
      </c>
      <c r="C83" s="63">
        <v>293</v>
      </c>
      <c r="D83" s="71">
        <v>3172007134.650001</v>
      </c>
      <c r="E83" s="71">
        <v>138.01999999999998</v>
      </c>
      <c r="F83" s="71">
        <f>D83/E83</f>
        <v>22982228.189030588</v>
      </c>
    </row>
    <row r="84" spans="2:6">
      <c r="B84" s="63"/>
      <c r="C84" s="72">
        <f>SUM(C80:C83)</f>
        <v>918</v>
      </c>
      <c r="D84" s="71">
        <f>SUM(D80:D83)</f>
        <v>10773463573.209999</v>
      </c>
      <c r="E84" s="72">
        <f>SUM(E80:E83)</f>
        <v>1073.8</v>
      </c>
      <c r="F84" s="71">
        <f>D84/E84</f>
        <v>10033026.236924939</v>
      </c>
    </row>
    <row r="87" spans="2:6">
      <c r="B87" t="s">
        <v>246</v>
      </c>
      <c r="C87" t="s">
        <v>245</v>
      </c>
      <c r="D87" t="s">
        <v>244</v>
      </c>
    </row>
    <row r="88" spans="2:6">
      <c r="B88" t="s">
        <v>240</v>
      </c>
      <c r="C88">
        <v>6100</v>
      </c>
      <c r="D88">
        <v>8200</v>
      </c>
    </row>
    <row r="89" spans="2:6">
      <c r="B89" s="73" t="s">
        <v>241</v>
      </c>
      <c r="C89" s="57">
        <v>3200</v>
      </c>
      <c r="D89" s="57">
        <v>4000</v>
      </c>
    </row>
    <row r="90" spans="2:6" ht="43.5">
      <c r="B90" s="72" t="s">
        <v>242</v>
      </c>
      <c r="C90" s="57">
        <v>3300</v>
      </c>
      <c r="D90" s="57">
        <v>3500</v>
      </c>
    </row>
    <row r="91" spans="2:6">
      <c r="B91" s="57" t="s">
        <v>243</v>
      </c>
      <c r="C91" s="70">
        <f>SUM(C88:C90)</f>
        <v>12600</v>
      </c>
      <c r="D91" s="70">
        <f>SUM(D88:D90)</f>
        <v>15700</v>
      </c>
    </row>
    <row r="92" spans="2:6">
      <c r="B92" t="s">
        <v>247</v>
      </c>
      <c r="C92" s="66" t="s">
        <v>248</v>
      </c>
      <c r="D92" s="74">
        <f>C91/D91</f>
        <v>0.80254777070063699</v>
      </c>
    </row>
    <row r="93" spans="2:6" ht="27.5" customHeight="1">
      <c r="B93" s="63"/>
      <c r="C93" s="69"/>
      <c r="D93" s="69"/>
    </row>
    <row r="94" spans="2:6">
      <c r="B94" t="s">
        <v>239</v>
      </c>
      <c r="C94" t="s">
        <v>1</v>
      </c>
      <c r="D94" t="s">
        <v>2</v>
      </c>
    </row>
    <row r="95" spans="2:6" ht="29">
      <c r="B95" s="1" t="s">
        <v>228</v>
      </c>
      <c r="C95" t="s">
        <v>4</v>
      </c>
      <c r="D95" s="2">
        <f>D91</f>
        <v>15700</v>
      </c>
    </row>
    <row r="96" spans="2:6" ht="29">
      <c r="B96" s="72" t="s">
        <v>229</v>
      </c>
      <c r="C96" s="57" t="s">
        <v>4</v>
      </c>
      <c r="D96" s="70">
        <f>E84</f>
        <v>1073.8</v>
      </c>
    </row>
    <row r="97" spans="2:5">
      <c r="B97" s="1"/>
      <c r="D97" s="2"/>
    </row>
    <row r="99" spans="2:5">
      <c r="B99" t="s">
        <v>249</v>
      </c>
      <c r="C99" t="s">
        <v>94</v>
      </c>
      <c r="D99" t="s">
        <v>4</v>
      </c>
    </row>
    <row r="100" spans="2:5">
      <c r="B100" s="64">
        <v>45270000000</v>
      </c>
      <c r="C100" s="64">
        <f>D92*1000000</f>
        <v>802547.77070063702</v>
      </c>
      <c r="D100" s="64">
        <f>B100/C100</f>
        <v>56407.857142857138</v>
      </c>
    </row>
    <row r="101" spans="2:5">
      <c r="B101" s="64"/>
      <c r="C101" s="64"/>
      <c r="D101" s="64"/>
    </row>
    <row r="102" spans="2:5">
      <c r="B102" s="63"/>
      <c r="C102" s="57"/>
      <c r="D102" s="65"/>
    </row>
    <row r="103" spans="2:5">
      <c r="B103" s="57"/>
      <c r="C103" s="57"/>
      <c r="D103" s="75"/>
    </row>
    <row r="104" spans="2:5">
      <c r="B104" t="s">
        <v>40</v>
      </c>
      <c r="C104" t="s">
        <v>4</v>
      </c>
      <c r="D104" t="s">
        <v>176</v>
      </c>
    </row>
    <row r="105" spans="2:5">
      <c r="B105" s="1" t="s">
        <v>250</v>
      </c>
      <c r="C105" s="2">
        <f>E75</f>
        <v>267127.84399999998</v>
      </c>
      <c r="D105" s="32">
        <f>D106/Tabela42[[#This Row],[km]]</f>
        <v>0.27395742820002372</v>
      </c>
    </row>
    <row r="106" spans="2:5">
      <c r="B106" s="1" t="s">
        <v>251</v>
      </c>
      <c r="C106" s="2">
        <f>D95+D96</f>
        <v>16773.8</v>
      </c>
      <c r="D106" s="15">
        <f>Tabela42[[#This Row],[km]]+C107</f>
        <v>73181.657142857133</v>
      </c>
    </row>
    <row r="107" spans="2:5" ht="29">
      <c r="B107" s="1" t="s">
        <v>252</v>
      </c>
      <c r="C107" s="2">
        <f>Tabela41[km]</f>
        <v>56407.857142857138</v>
      </c>
    </row>
    <row r="108" spans="2:5">
      <c r="B108" s="1" t="s">
        <v>253</v>
      </c>
      <c r="C108" s="2">
        <f>C105-C106-C107</f>
        <v>193946.18685714286</v>
      </c>
    </row>
    <row r="110" spans="2:5">
      <c r="B110" t="s">
        <v>255</v>
      </c>
      <c r="C110" t="s">
        <v>4</v>
      </c>
      <c r="D110" t="s">
        <v>254</v>
      </c>
      <c r="E110" t="s">
        <v>52</v>
      </c>
    </row>
    <row r="111" spans="2:5">
      <c r="B111" t="s">
        <v>137</v>
      </c>
      <c r="C111" s="76">
        <f>C108</f>
        <v>193946.18685714286</v>
      </c>
      <c r="D111" s="76">
        <f>Tabela41[zł/1 km]</f>
        <v>802547.77070063702</v>
      </c>
      <c r="E111" s="77">
        <f>D111*C111</f>
        <v>155651079898.0892</v>
      </c>
    </row>
    <row r="116" spans="2:6">
      <c r="B116" t="s">
        <v>207</v>
      </c>
      <c r="C116" t="s">
        <v>256</v>
      </c>
      <c r="D116" t="s">
        <v>257</v>
      </c>
      <c r="E116" t="s">
        <v>258</v>
      </c>
    </row>
    <row r="117" spans="2:6">
      <c r="C117" t="s">
        <v>46</v>
      </c>
    </row>
    <row r="118" spans="2:6">
      <c r="C118" t="s">
        <v>74</v>
      </c>
      <c r="D118" t="s">
        <v>176</v>
      </c>
      <c r="E118" t="s">
        <v>114</v>
      </c>
    </row>
    <row r="119" spans="2:6">
      <c r="B119" t="s">
        <v>147</v>
      </c>
      <c r="C119" s="2">
        <v>20742.300000000003</v>
      </c>
      <c r="D119" s="32">
        <v>5.5131029320926957E-2</v>
      </c>
      <c r="E119" s="2">
        <f>(Tabela44[[#This Row],[udział %  dróg lokalnych województwa w ogóle dróg lokalnych]]*Tabela43[razem])/1000000</f>
        <v>8581.2042496955</v>
      </c>
      <c r="F119" s="2"/>
    </row>
    <row r="120" spans="2:6">
      <c r="B120" t="s">
        <v>148</v>
      </c>
      <c r="C120" s="2">
        <v>24558.400000000001</v>
      </c>
      <c r="D120" s="32">
        <v>6.5273854417063321E-2</v>
      </c>
      <c r="E120" s="2">
        <f>(Tabela44[[#This Row],[udział %  dróg lokalnych województwa w ogóle dróg lokalnych]]*Tabela43[razem])/1000000</f>
        <v>10159.945929126567</v>
      </c>
      <c r="F120" s="2"/>
    </row>
    <row r="121" spans="2:6">
      <c r="B121" t="s">
        <v>149</v>
      </c>
      <c r="C121" s="2">
        <v>34773.4</v>
      </c>
      <c r="D121" s="32">
        <v>9.2424337464423967E-2</v>
      </c>
      <c r="E121" s="2">
        <f>(Tabela44[[#This Row],[udział %  dróg lokalnych województwa w ogóle dróg lokalnych]]*Tabela43[razem])/1000000</f>
        <v>14385.947935203014</v>
      </c>
      <c r="F121" s="2"/>
    </row>
    <row r="122" spans="2:6">
      <c r="B122" t="s">
        <v>150</v>
      </c>
      <c r="C122" s="2">
        <v>13077.5</v>
      </c>
      <c r="D122" s="32">
        <v>3.4758731478400279E-2</v>
      </c>
      <c r="E122" s="2">
        <f>(Tabela44[[#This Row],[udział %  dróg lokalnych województwa w ogóle dróg lokalnych]]*Tabela43[razem])/1000000</f>
        <v>5410.2340905007104</v>
      </c>
      <c r="F122" s="2"/>
    </row>
    <row r="123" spans="2:6">
      <c r="B123" t="s">
        <v>151</v>
      </c>
      <c r="C123" s="2">
        <v>23196.5</v>
      </c>
      <c r="D123" s="32">
        <v>6.1654055801086759E-2</v>
      </c>
      <c r="E123" s="2">
        <f>(Tabela44[[#This Row],[udział %  dróg lokalnych województwa w ogóle dróg lokalnych]]*Tabela43[razem])/1000000</f>
        <v>9596.5203655362056</v>
      </c>
      <c r="F123" s="2"/>
    </row>
    <row r="124" spans="2:6">
      <c r="B124" t="s">
        <v>152</v>
      </c>
      <c r="C124" s="2">
        <v>28931.899999999998</v>
      </c>
      <c r="D124" s="32">
        <v>7.6898194858339056E-2</v>
      </c>
      <c r="E124" s="2">
        <f>(Tabela44[[#This Row],[udział %  dróg lokalnych województwa w ogóle dróg lokalnych]]*Tabela43[razem])/1000000</f>
        <v>11969.287071914165</v>
      </c>
      <c r="F124" s="2"/>
    </row>
    <row r="125" spans="2:6">
      <c r="B125" t="s">
        <v>153</v>
      </c>
      <c r="C125" s="2">
        <v>49553.299999999996</v>
      </c>
      <c r="D125" s="32">
        <v>0.13170788366037947</v>
      </c>
      <c r="E125" s="2">
        <f>(Tabela44[[#This Row],[udział %  dróg lokalnych województwa w ogóle dróg lokalnych]]*Tabela43[razem])/1000000</f>
        <v>20500.474322829963</v>
      </c>
      <c r="F125" s="2"/>
    </row>
    <row r="126" spans="2:6">
      <c r="B126" t="s">
        <v>154</v>
      </c>
      <c r="C126" s="2">
        <v>8729.7999999999993</v>
      </c>
      <c r="D126" s="32">
        <v>2.3202964944380712E-2</v>
      </c>
      <c r="E126" s="2">
        <f>(Tabela44[[#This Row],[udział %  dróg lokalnych województwa w ogóle dróg lokalnych]]*Tabela43[razem])/1000000</f>
        <v>3611.5665504303652</v>
      </c>
      <c r="F126" s="2"/>
    </row>
    <row r="127" spans="2:6">
      <c r="B127" t="s">
        <v>155</v>
      </c>
      <c r="C127" s="2">
        <v>18470.2</v>
      </c>
      <c r="D127" s="32">
        <v>4.9092007046633447E-2</v>
      </c>
      <c r="E127" s="2">
        <f>(Tabela44[[#This Row],[udział %  dróg lokalnych województwa w ogóle dróg lokalnych]]*Tabela43[razem])/1000000</f>
        <v>7641.2239111731005</v>
      </c>
      <c r="F127" s="2"/>
    </row>
    <row r="128" spans="2:6">
      <c r="B128" t="s">
        <v>156</v>
      </c>
      <c r="C128" s="2">
        <v>24344.3</v>
      </c>
      <c r="D128" s="32">
        <v>6.4704797302972281E-2</v>
      </c>
      <c r="E128" s="2">
        <f>(Tabela44[[#This Row],[udział %  dróg lokalnych województwa w ogóle dróg lokalnych]]*Tabela43[razem])/1000000</f>
        <v>10071.371574794604</v>
      </c>
      <c r="F128" s="2"/>
    </row>
    <row r="129" spans="2:6">
      <c r="B129" t="s">
        <v>157</v>
      </c>
      <c r="C129" s="2">
        <v>19971.900000000001</v>
      </c>
      <c r="D129" s="32">
        <v>5.3083380555416754E-2</v>
      </c>
      <c r="E129" s="2">
        <f>(Tabela44[[#This Row],[udział %  dróg lokalnych województwa w ogóle dróg lokalnych]]*Tabela43[razem])/1000000</f>
        <v>8262.4855080918478</v>
      </c>
      <c r="F129" s="2"/>
    </row>
    <row r="130" spans="2:6">
      <c r="B130" t="s">
        <v>158</v>
      </c>
      <c r="C130" s="2">
        <v>22041.8</v>
      </c>
      <c r="D130" s="32">
        <v>5.8584974765865286E-2</v>
      </c>
      <c r="E130" s="2">
        <f>(Tabela44[[#This Row],[udział %  dróg lokalnych województwa w ogóle dróg lokalnych]]*Tabela43[razem])/1000000</f>
        <v>9118.8145881092369</v>
      </c>
      <c r="F130" s="2"/>
    </row>
    <row r="131" spans="2:6">
      <c r="B131" t="s">
        <v>159</v>
      </c>
      <c r="C131" s="2">
        <v>15661.199999999999</v>
      </c>
      <c r="D131" s="32">
        <v>4.1625956446532018E-2</v>
      </c>
      <c r="E131" s="2">
        <f>(Tabela44[[#This Row],[udział %  dróg lokalnych województwa w ogóle dróg lokalnych]]*Tabela43[razem])/1000000</f>
        <v>6479.1250726935368</v>
      </c>
      <c r="F131" s="2"/>
    </row>
    <row r="132" spans="2:6">
      <c r="B132" t="s">
        <v>160</v>
      </c>
      <c r="C132" s="2">
        <v>19108.900000000001</v>
      </c>
      <c r="D132" s="32">
        <v>5.0789609936731268E-2</v>
      </c>
      <c r="E132" s="2">
        <f>(Tabela44[[#This Row],[udział %  dróg lokalnych województwa w ogóle dróg lokalnych]]*Tabela43[razem])/1000000</f>
        <v>7905.4576342549435</v>
      </c>
      <c r="F132" s="2"/>
    </row>
    <row r="133" spans="2:6">
      <c r="B133" t="s">
        <v>161</v>
      </c>
      <c r="C133" s="2">
        <v>36501.599999999999</v>
      </c>
      <c r="D133" s="32">
        <v>9.7017726089235382E-2</v>
      </c>
      <c r="E133" s="2">
        <f>(Tabela44[[#This Row],[udział %  dróg lokalnych województwa w ogóle dróg lokalnych]]*Tabela43[razem])/1000000</f>
        <v>15100.913835046509</v>
      </c>
      <c r="F133" s="2"/>
    </row>
    <row r="134" spans="2:6">
      <c r="B134" t="s">
        <v>162</v>
      </c>
      <c r="C134" s="2">
        <v>16573.400000000001</v>
      </c>
      <c r="D134" s="32">
        <v>4.4050495911613016E-2</v>
      </c>
      <c r="E134" s="2">
        <f>(Tabela44[[#This Row],[udział %  dróg lokalnych województwa w ogóle dróg lokalnych]]*Tabela43[razem])/1000000</f>
        <v>6856.5072586889291</v>
      </c>
      <c r="F134" s="2"/>
    </row>
  </sheetData>
  <pageMargins left="0.7" right="0.7" top="0.75" bottom="0.75" header="0.3" footer="0.3"/>
  <tableParts count="13">
    <tablePart r:id="rId1"/>
    <tablePart r:id="rId2"/>
    <tablePart r:id="rId3"/>
    <tablePart r:id="rId4"/>
    <tablePart r:id="rId5"/>
    <tablePart r:id="rId6"/>
    <tablePart r:id="rId7"/>
    <tablePart r:id="rId8"/>
    <tablePart r:id="rId9"/>
    <tablePart r:id="rId10"/>
    <tablePart r:id="rId11"/>
    <tablePart r:id="rId12"/>
    <tablePart r:id="rId1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AA72FD-B8B6-4C77-923A-229690433F76}">
  <dimension ref="B2:I36"/>
  <sheetViews>
    <sheetView zoomScale="80" zoomScaleNormal="80" workbookViewId="0">
      <selection activeCell="G6" sqref="G6"/>
    </sheetView>
  </sheetViews>
  <sheetFormatPr defaultRowHeight="14.5"/>
  <cols>
    <col min="2" max="2" width="25" style="1" customWidth="1"/>
    <col min="3" max="3" width="14.54296875" customWidth="1"/>
    <col min="4" max="4" width="33.08984375" customWidth="1"/>
    <col min="5" max="5" width="33.453125" customWidth="1"/>
  </cols>
  <sheetData>
    <row r="2" spans="2:5">
      <c r="B2" s="1" t="s">
        <v>263</v>
      </c>
      <c r="C2" t="s">
        <v>260</v>
      </c>
      <c r="D2" t="s">
        <v>4</v>
      </c>
      <c r="E2" t="s">
        <v>261</v>
      </c>
    </row>
    <row r="3" spans="2:5">
      <c r="B3" s="1" t="s">
        <v>262</v>
      </c>
      <c r="C3" s="2">
        <v>881000000</v>
      </c>
      <c r="D3">
        <v>1100</v>
      </c>
      <c r="E3" s="15">
        <f>C3/D3</f>
        <v>800909.09090909094</v>
      </c>
    </row>
    <row r="4" spans="2:5">
      <c r="C4" s="2"/>
      <c r="E4" s="15"/>
    </row>
    <row r="5" spans="2:5">
      <c r="B5" s="1" t="s">
        <v>266</v>
      </c>
      <c r="C5" t="s">
        <v>4</v>
      </c>
    </row>
    <row r="6" spans="2:5">
      <c r="B6" s="1" t="s">
        <v>264</v>
      </c>
      <c r="C6" s="15">
        <v>5150</v>
      </c>
      <c r="E6" s="15"/>
    </row>
    <row r="7" spans="2:5">
      <c r="B7" s="1" t="s">
        <v>265</v>
      </c>
      <c r="C7" s="15">
        <f>Tabela45[km]</f>
        <v>1100</v>
      </c>
    </row>
    <row r="8" spans="2:5">
      <c r="B8" s="1" t="s">
        <v>253</v>
      </c>
      <c r="C8" s="15">
        <f>C6-C7</f>
        <v>4050</v>
      </c>
    </row>
    <row r="11" spans="2:5">
      <c r="B11" s="1" t="s">
        <v>268</v>
      </c>
      <c r="C11" s="1" t="s">
        <v>1</v>
      </c>
      <c r="D11" s="1" t="s">
        <v>269</v>
      </c>
    </row>
    <row r="12" spans="2:5">
      <c r="B12" s="1" t="s">
        <v>267</v>
      </c>
      <c r="C12" t="s">
        <v>93</v>
      </c>
      <c r="D12" s="15">
        <f>Tabela45[pln/1 km]</f>
        <v>800909.09090909094</v>
      </c>
    </row>
    <row r="13" spans="2:5">
      <c r="B13" s="1" t="s">
        <v>270</v>
      </c>
      <c r="C13" t="s">
        <v>4</v>
      </c>
      <c r="D13" s="15">
        <f>C8</f>
        <v>4050</v>
      </c>
    </row>
    <row r="14" spans="2:5" ht="29">
      <c r="B14" s="1" t="s">
        <v>271</v>
      </c>
      <c r="C14" t="s">
        <v>93</v>
      </c>
      <c r="D14" s="2">
        <f>D13*D12</f>
        <v>3243681818.1818185</v>
      </c>
    </row>
    <row r="15" spans="2:5" ht="29">
      <c r="B15" s="79" t="s">
        <v>271</v>
      </c>
      <c r="C15" s="39" t="s">
        <v>114</v>
      </c>
      <c r="D15" s="80">
        <f>D14/1000000</f>
        <v>3243.6818181818185</v>
      </c>
    </row>
    <row r="17" spans="2:9">
      <c r="B17" s="1" t="s">
        <v>40</v>
      </c>
      <c r="C17" s="1" t="s">
        <v>165</v>
      </c>
      <c r="D17" s="1" t="s">
        <v>272</v>
      </c>
      <c r="E17" s="1" t="s">
        <v>273</v>
      </c>
      <c r="F17" s="1"/>
      <c r="G17" s="1"/>
      <c r="H17" s="1"/>
      <c r="I17" s="1"/>
    </row>
    <row r="18" spans="2:9">
      <c r="C18" t="s">
        <v>46</v>
      </c>
      <c r="D18">
        <v>2018</v>
      </c>
    </row>
    <row r="19" spans="2:9">
      <c r="C19" t="s">
        <v>74</v>
      </c>
      <c r="D19" t="s">
        <v>176</v>
      </c>
      <c r="E19" t="s">
        <v>88</v>
      </c>
    </row>
    <row r="20" spans="2:9">
      <c r="B20" s="1" t="s">
        <v>69</v>
      </c>
      <c r="C20" s="2">
        <v>19402.7</v>
      </c>
    </row>
    <row r="21" spans="2:9">
      <c r="B21" s="1" t="s">
        <v>147</v>
      </c>
      <c r="C21" s="2">
        <v>1419.7</v>
      </c>
      <c r="D21" s="35">
        <v>7.3170228885670555E-2</v>
      </c>
      <c r="E21" s="2">
        <f>Tabela47[[#Totals],[wartość za 1 km]]*Tabela48[[#This Row],[udział w całości sieci dróg krajowych]]</f>
        <v>237.34094106865169</v>
      </c>
    </row>
    <row r="22" spans="2:9">
      <c r="B22" s="1" t="s">
        <v>148</v>
      </c>
      <c r="C22" s="2">
        <v>1207.0999999999999</v>
      </c>
      <c r="D22" s="35">
        <v>6.2212990975482788E-2</v>
      </c>
      <c r="E22" s="2">
        <f>Tabela47[[#Totals],[wartość za 1 km]]*Tabela48[[#This Row],[udział w całości sieci dróg krajowych]]</f>
        <v>201.79914768188308</v>
      </c>
    </row>
    <row r="23" spans="2:9">
      <c r="B23" s="1" t="s">
        <v>149</v>
      </c>
      <c r="C23" s="2">
        <v>1041.4000000000001</v>
      </c>
      <c r="D23" s="35">
        <v>5.3672942425538717E-2</v>
      </c>
      <c r="E23" s="2">
        <f>Tabela47[[#Totals],[wartość za 1 km]]*Tabela48[[#This Row],[udział w całości sieci dróg krajowych]]</f>
        <v>174.0979474740395</v>
      </c>
    </row>
    <row r="24" spans="2:9">
      <c r="B24" s="1" t="s">
        <v>150</v>
      </c>
      <c r="C24" s="2">
        <v>908.5</v>
      </c>
      <c r="D24" s="35">
        <v>4.6823380251202147E-2</v>
      </c>
      <c r="E24" s="2">
        <f>Tabela47[[#Totals],[wartość za 1 km]]*Tabela48[[#This Row],[udział w całości sieci dróg krajowych]]</f>
        <v>151.88014718663803</v>
      </c>
    </row>
    <row r="25" spans="2:9">
      <c r="B25" s="1" t="s">
        <v>151</v>
      </c>
      <c r="C25" s="2">
        <v>1485.9</v>
      </c>
      <c r="D25" s="35">
        <v>7.6582125168146706E-2</v>
      </c>
      <c r="E25" s="2">
        <f>Tabela47[[#Totals],[wartość za 1 km]]*Tabela48[[#This Row],[udział w całości sieci dróg krajowych]]</f>
        <v>248.40804700564172</v>
      </c>
    </row>
    <row r="26" spans="2:9">
      <c r="B26" s="1" t="s">
        <v>152</v>
      </c>
      <c r="C26" s="2">
        <v>1097.9000000000001</v>
      </c>
      <c r="D26" s="35">
        <v>5.6584908285960203E-2</v>
      </c>
      <c r="E26" s="2">
        <f>Tabela47[[#Totals],[wartość za 1 km]]*Tabela48[[#This Row],[udział w całości sieci dróg krajowych]]</f>
        <v>183.54343819065483</v>
      </c>
    </row>
    <row r="27" spans="2:9">
      <c r="B27" s="1" t="s">
        <v>153</v>
      </c>
      <c r="C27" s="2">
        <v>2437.1</v>
      </c>
      <c r="D27" s="35">
        <v>0.12560623006076474</v>
      </c>
      <c r="E27" s="2">
        <f>Tabela47[[#Totals],[wartość za 1 km]]*Tabela48[[#This Row],[udział w całości sieci dróg krajowych]]</f>
        <v>407.42664469846517</v>
      </c>
    </row>
    <row r="28" spans="2:9">
      <c r="B28" s="1" t="s">
        <v>154</v>
      </c>
      <c r="C28" s="2">
        <v>779.5</v>
      </c>
      <c r="D28" s="35">
        <v>4.0174821030062827E-2</v>
      </c>
      <c r="E28" s="2">
        <f>Tabela47[[#Totals],[wartość za 1 km]]*Tabela48[[#This Row],[udział w całości sieci dróg krajowych]]</f>
        <v>130.31433652392334</v>
      </c>
    </row>
    <row r="29" spans="2:9">
      <c r="B29" s="1" t="s">
        <v>155</v>
      </c>
      <c r="C29" s="2">
        <v>927.1</v>
      </c>
      <c r="D29" s="35">
        <v>4.7782009720296656E-2</v>
      </c>
      <c r="E29" s="2">
        <f>Tabela47[[#Totals],[wartość za 1 km]]*Tabela48[[#This Row],[udział w całości sieci dróg krajowych]]</f>
        <v>154.98963616591317</v>
      </c>
    </row>
    <row r="30" spans="2:9">
      <c r="B30" s="1" t="s">
        <v>156</v>
      </c>
      <c r="C30" s="2">
        <v>994.7</v>
      </c>
      <c r="D30" s="35">
        <v>5.1266060909048741E-2</v>
      </c>
      <c r="E30" s="2">
        <f>Tabela47[[#Totals],[wartość za 1 km]]*Tabela48[[#This Row],[udział w całości sieci dróg krajowych]]</f>
        <v>166.29078966048306</v>
      </c>
    </row>
    <row r="31" spans="2:9">
      <c r="B31" s="1" t="s">
        <v>157</v>
      </c>
      <c r="C31" s="2">
        <v>914.2</v>
      </c>
      <c r="D31" s="35">
        <v>4.711715379818273E-2</v>
      </c>
      <c r="E31" s="2">
        <f>Tabela47[[#Totals],[wartość za 1 km]]*Tabela48[[#This Row],[udział w całości sieci dróg krajowych]]</f>
        <v>152.83305509964174</v>
      </c>
    </row>
    <row r="32" spans="2:9">
      <c r="B32" s="1" t="s">
        <v>158</v>
      </c>
      <c r="C32" s="2">
        <v>1228.3</v>
      </c>
      <c r="D32" s="35">
        <v>6.3305622413375451E-2</v>
      </c>
      <c r="E32" s="2">
        <f>Tabela47[[#Totals],[wartość za 1 km]]*Tabela48[[#This Row],[udział w całości sieci dróg krajowych]]</f>
        <v>205.34329641094936</v>
      </c>
    </row>
    <row r="33" spans="2:5">
      <c r="B33" s="1" t="s">
        <v>159</v>
      </c>
      <c r="C33" s="2">
        <v>755</v>
      </c>
      <c r="D33" s="35">
        <v>3.8912110170234035E-2</v>
      </c>
      <c r="E33" s="2">
        <f>Tabela47[[#Totals],[wartość za 1 km]]*Tabela48[[#This Row],[udział w całości sieci dróg krajowych]]</f>
        <v>126.21850426627597</v>
      </c>
    </row>
    <row r="34" spans="2:5">
      <c r="B34" s="1" t="s">
        <v>160</v>
      </c>
      <c r="C34" s="2">
        <v>1333.6</v>
      </c>
      <c r="D34" s="35">
        <v>6.8732702149700814E-2</v>
      </c>
      <c r="E34" s="2">
        <f>Tabela47[[#Totals],[wartość za 1 km]]*Tabela48[[#This Row],[udział w całości sieci dróg krajowych]]</f>
        <v>222.94701627749092</v>
      </c>
    </row>
    <row r="35" spans="2:5">
      <c r="B35" s="1" t="s">
        <v>161</v>
      </c>
      <c r="C35" s="2">
        <v>1736</v>
      </c>
      <c r="D35" s="35">
        <v>8.947208378215403E-2</v>
      </c>
      <c r="E35" s="2">
        <f>Tabela47[[#Totals],[wartość za 1 km]]*Tabela48[[#This Row],[udział w całości sieci dróg krajowych]]</f>
        <v>290.21897139901336</v>
      </c>
    </row>
    <row r="36" spans="2:5">
      <c r="B36" s="1" t="s">
        <v>162</v>
      </c>
      <c r="C36" s="2">
        <v>1136.7</v>
      </c>
      <c r="D36" s="35">
        <v>5.8584629974178855E-2</v>
      </c>
      <c r="E36" s="2">
        <f>Tabela47[[#Totals],[wartość za 1 km]]*Tabela48[[#This Row],[udział w całości sieci dróg krajowych]]</f>
        <v>190.02989907215354</v>
      </c>
    </row>
  </sheetData>
  <pageMargins left="0.7" right="0.7" top="0.75" bottom="0.75" header="0.3" footer="0.3"/>
  <tableParts count="4">
    <tablePart r:id="rId1"/>
    <tablePart r:id="rId2"/>
    <tablePart r:id="rId3"/>
    <tablePart r:id="rId4"/>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D5D295-1334-4805-B772-731A5132652B}">
  <dimension ref="B2:G96"/>
  <sheetViews>
    <sheetView topLeftCell="A91" workbookViewId="0">
      <selection activeCell="E98" sqref="E98"/>
    </sheetView>
  </sheetViews>
  <sheetFormatPr defaultRowHeight="14.5"/>
  <cols>
    <col min="2" max="2" width="39.36328125" bestFit="1" customWidth="1"/>
    <col min="3" max="3" width="26.6328125" customWidth="1"/>
    <col min="4" max="4" width="26.08984375" customWidth="1"/>
    <col min="5" max="5" width="25.1796875" customWidth="1"/>
    <col min="6" max="7" width="11" bestFit="1" customWidth="1"/>
  </cols>
  <sheetData>
    <row r="2" spans="2:5" s="1" customFormat="1" ht="43.5">
      <c r="B2" s="1" t="s">
        <v>274</v>
      </c>
      <c r="C2" s="1" t="s">
        <v>275</v>
      </c>
      <c r="D2" s="1" t="s">
        <v>276</v>
      </c>
      <c r="E2" s="1" t="s">
        <v>277</v>
      </c>
    </row>
    <row r="3" spans="2:5">
      <c r="B3" t="s">
        <v>278</v>
      </c>
      <c r="C3" s="26">
        <v>20578.839999999997</v>
      </c>
      <c r="D3" s="26">
        <v>18429</v>
      </c>
      <c r="E3" s="26">
        <v>19132</v>
      </c>
    </row>
    <row r="4" spans="2:5">
      <c r="B4" t="s">
        <v>279</v>
      </c>
      <c r="C4" s="26">
        <v>394.65000000000003</v>
      </c>
      <c r="D4" s="26"/>
      <c r="E4" s="26"/>
    </row>
    <row r="5" spans="2:5">
      <c r="B5" t="s">
        <v>280</v>
      </c>
      <c r="C5" s="26">
        <v>102.367</v>
      </c>
      <c r="D5" s="26"/>
      <c r="E5" s="26"/>
    </row>
    <row r="6" spans="2:5">
      <c r="B6" t="s">
        <v>281</v>
      </c>
      <c r="C6" s="26">
        <v>59.079000000000001</v>
      </c>
      <c r="D6" s="26"/>
      <c r="E6" s="26"/>
    </row>
    <row r="7" spans="2:5">
      <c r="B7" t="s">
        <v>282</v>
      </c>
      <c r="C7" s="26">
        <v>40.568999999999996</v>
      </c>
      <c r="D7" s="26"/>
      <c r="E7" s="26"/>
    </row>
    <row r="8" spans="2:5">
      <c r="B8" t="s">
        <v>283</v>
      </c>
      <c r="C8" s="26">
        <v>40.549999999999997</v>
      </c>
      <c r="D8" s="26"/>
      <c r="E8" s="26"/>
    </row>
    <row r="9" spans="2:5">
      <c r="B9" t="s">
        <v>284</v>
      </c>
      <c r="C9" s="26">
        <v>38.53</v>
      </c>
      <c r="D9" s="26"/>
      <c r="E9" s="26"/>
    </row>
    <row r="10" spans="2:5">
      <c r="B10" t="s">
        <v>285</v>
      </c>
      <c r="C10" s="26">
        <v>32.65</v>
      </c>
      <c r="D10" s="26"/>
      <c r="E10" s="26"/>
    </row>
    <row r="11" spans="2:5">
      <c r="B11" t="s">
        <v>286</v>
      </c>
      <c r="C11" s="26">
        <v>31.937000000000001</v>
      </c>
      <c r="D11" s="26"/>
      <c r="E11" s="26"/>
    </row>
    <row r="12" spans="2:5">
      <c r="B12" t="s">
        <v>287</v>
      </c>
      <c r="C12" s="26">
        <v>29.847999999999999</v>
      </c>
      <c r="D12" s="26"/>
      <c r="E12" s="26"/>
    </row>
    <row r="13" spans="2:5">
      <c r="B13" t="s">
        <v>288</v>
      </c>
      <c r="C13" s="26">
        <v>18.334</v>
      </c>
      <c r="D13" s="26"/>
      <c r="E13" s="26"/>
    </row>
    <row r="14" spans="2:5">
      <c r="B14" t="s">
        <v>289</v>
      </c>
      <c r="C14" s="26">
        <v>11.35</v>
      </c>
      <c r="D14" s="26"/>
      <c r="E14" s="26"/>
    </row>
    <row r="15" spans="2:5">
      <c r="B15" t="s">
        <v>290</v>
      </c>
      <c r="C15" s="26">
        <v>9.64</v>
      </c>
      <c r="D15" s="26"/>
      <c r="E15" s="26"/>
    </row>
    <row r="16" spans="2:5">
      <c r="B16" t="s">
        <v>291</v>
      </c>
      <c r="C16" s="26">
        <v>1.44</v>
      </c>
      <c r="D16" s="26"/>
      <c r="E16" s="26"/>
    </row>
    <row r="19" spans="2:7">
      <c r="B19" t="s">
        <v>292</v>
      </c>
      <c r="C19" t="s">
        <v>176</v>
      </c>
      <c r="D19" t="s">
        <v>4</v>
      </c>
    </row>
    <row r="20" spans="2:7">
      <c r="B20" t="s">
        <v>293</v>
      </c>
      <c r="C20" s="78">
        <v>0.154</v>
      </c>
      <c r="D20" s="27">
        <f>C20*E3</f>
        <v>2946.328</v>
      </c>
    </row>
    <row r="21" spans="2:7">
      <c r="B21" t="s">
        <v>294</v>
      </c>
      <c r="C21" s="78">
        <v>0.23799999999999999</v>
      </c>
      <c r="D21" s="27">
        <f>C21*E3</f>
        <v>4553.4160000000002</v>
      </c>
    </row>
    <row r="22" spans="2:7">
      <c r="B22" t="s">
        <v>295</v>
      </c>
      <c r="C22" s="78">
        <v>0.60799999999999998</v>
      </c>
      <c r="D22" s="27">
        <f>C22*E3</f>
        <v>11632.255999999999</v>
      </c>
    </row>
    <row r="24" spans="2:7">
      <c r="B24" t="s">
        <v>301</v>
      </c>
      <c r="C24" s="27" t="s">
        <v>40</v>
      </c>
      <c r="D24" t="s">
        <v>297</v>
      </c>
      <c r="E24" t="s">
        <v>298</v>
      </c>
      <c r="F24" t="s">
        <v>299</v>
      </c>
    </row>
    <row r="25" spans="2:7" ht="29">
      <c r="B25" s="1" t="s">
        <v>296</v>
      </c>
      <c r="D25">
        <v>2</v>
      </c>
      <c r="E25" s="2">
        <v>113812301.53</v>
      </c>
      <c r="F25" s="2">
        <v>4.2</v>
      </c>
      <c r="G25" s="2"/>
    </row>
    <row r="26" spans="2:7" ht="43.5">
      <c r="B26" s="1" t="s">
        <v>300</v>
      </c>
      <c r="D26">
        <v>59</v>
      </c>
      <c r="E26" s="2">
        <v>27228896702.62001</v>
      </c>
      <c r="F26" s="2">
        <v>2221.7300000000009</v>
      </c>
    </row>
    <row r="27" spans="2:7" ht="29">
      <c r="B27" s="1" t="s">
        <v>302</v>
      </c>
      <c r="D27">
        <v>22</v>
      </c>
      <c r="E27" s="2">
        <v>22721097754.059059</v>
      </c>
      <c r="F27" s="2">
        <v>934.44</v>
      </c>
    </row>
    <row r="28" spans="2:7">
      <c r="B28" t="s">
        <v>52</v>
      </c>
      <c r="D28">
        <f>SUM(D25:D27)</f>
        <v>83</v>
      </c>
      <c r="E28" s="2">
        <f>SUM(E25:E27)</f>
        <v>50063806758.209068</v>
      </c>
      <c r="F28" s="2">
        <f>SUM(F25:F27)</f>
        <v>3160.3700000000008</v>
      </c>
    </row>
    <row r="29" spans="2:7">
      <c r="B29" t="s">
        <v>303</v>
      </c>
      <c r="E29" s="2" t="s">
        <v>304</v>
      </c>
      <c r="F29" s="2">
        <f>E28/F28</f>
        <v>15841122.007299479</v>
      </c>
    </row>
    <row r="31" spans="2:7">
      <c r="B31" t="s">
        <v>305</v>
      </c>
      <c r="C31" t="s">
        <v>93</v>
      </c>
      <c r="D31" s="2">
        <f>D25*D29</f>
        <v>0</v>
      </c>
    </row>
    <row r="32" spans="2:7">
      <c r="B32" t="s">
        <v>306</v>
      </c>
      <c r="C32" s="2">
        <f>D20*F29</f>
        <v>46673141321.522659</v>
      </c>
      <c r="D32" s="2">
        <f>D26*D29</f>
        <v>0</v>
      </c>
    </row>
    <row r="33" spans="2:3">
      <c r="B33" t="s">
        <v>307</v>
      </c>
      <c r="C33" s="2">
        <f>D21*F29</f>
        <v>72131218405.989563</v>
      </c>
    </row>
    <row r="34" spans="2:3">
      <c r="B34" t="s">
        <v>52</v>
      </c>
      <c r="C34" s="15">
        <f>SUM(C32:C33)</f>
        <v>118804359727.51222</v>
      </c>
    </row>
    <row r="36" spans="2:3">
      <c r="B36" t="s">
        <v>309</v>
      </c>
      <c r="C36" t="s">
        <v>310</v>
      </c>
    </row>
    <row r="37" spans="2:3">
      <c r="B37" t="s">
        <v>311</v>
      </c>
      <c r="C37" s="2">
        <v>108724.83221476511</v>
      </c>
    </row>
    <row r="38" spans="2:3">
      <c r="B38" t="s">
        <v>312</v>
      </c>
      <c r="C38" s="2">
        <v>88099.251455503181</v>
      </c>
    </row>
    <row r="39" spans="2:3">
      <c r="B39" t="s">
        <v>313</v>
      </c>
      <c r="C39" s="2">
        <v>13179.448994787788</v>
      </c>
    </row>
    <row r="40" spans="2:3">
      <c r="B40" t="s">
        <v>314</v>
      </c>
      <c r="C40" s="2">
        <v>61644.615872344919</v>
      </c>
    </row>
    <row r="41" spans="2:3">
      <c r="B41" t="s">
        <v>315</v>
      </c>
      <c r="C41" s="2">
        <v>28443.190561682484</v>
      </c>
    </row>
    <row r="42" spans="2:3">
      <c r="B42" t="s">
        <v>316</v>
      </c>
      <c r="C42" s="2">
        <v>111987.3966128397</v>
      </c>
    </row>
    <row r="43" spans="2:3">
      <c r="B43" t="s">
        <v>317</v>
      </c>
      <c r="C43" s="2">
        <v>37419.389978213505</v>
      </c>
    </row>
    <row r="44" spans="2:3">
      <c r="B44" t="s">
        <v>318</v>
      </c>
      <c r="C44" s="2">
        <v>7680.3571428571431</v>
      </c>
    </row>
    <row r="45" spans="2:3">
      <c r="B45" t="s">
        <v>319</v>
      </c>
      <c r="C45" s="2">
        <v>37751.224720512495</v>
      </c>
    </row>
    <row r="46" spans="2:3">
      <c r="B46" t="s">
        <v>320</v>
      </c>
      <c r="C46" s="2">
        <v>36449.544380695239</v>
      </c>
    </row>
    <row r="47" spans="2:3">
      <c r="B47" t="s">
        <v>321</v>
      </c>
      <c r="C47" s="2">
        <v>93604.569172190095</v>
      </c>
    </row>
    <row r="48" spans="2:3">
      <c r="B48" t="s">
        <v>322</v>
      </c>
      <c r="C48" s="2">
        <v>33390.786948176581</v>
      </c>
    </row>
    <row r="49" spans="2:3">
      <c r="B49" t="s">
        <v>323</v>
      </c>
      <c r="C49" s="2">
        <v>18180.668473351401</v>
      </c>
    </row>
    <row r="50" spans="2:3">
      <c r="B50" t="s">
        <v>324</v>
      </c>
      <c r="C50" s="2">
        <v>79761.87961985216</v>
      </c>
    </row>
    <row r="51" spans="2:3">
      <c r="B51" t="s">
        <v>325</v>
      </c>
      <c r="C51" s="2">
        <v>4952.3280299485259</v>
      </c>
    </row>
    <row r="52" spans="2:3">
      <c r="B52" t="s">
        <v>326</v>
      </c>
      <c r="C52" s="2">
        <v>65163.265306122448</v>
      </c>
    </row>
    <row r="53" spans="2:3">
      <c r="B53" t="s">
        <v>327</v>
      </c>
      <c r="C53" s="2">
        <v>508996.36363636365</v>
      </c>
    </row>
    <row r="54" spans="2:3">
      <c r="B54" t="s">
        <v>328</v>
      </c>
      <c r="C54" s="2">
        <v>74506.451612903227</v>
      </c>
    </row>
    <row r="55" spans="2:3">
      <c r="B55" t="s">
        <v>329</v>
      </c>
      <c r="C55" s="2">
        <v>228590.90909090909</v>
      </c>
    </row>
    <row r="56" spans="2:3">
      <c r="B56" t="s">
        <v>330</v>
      </c>
      <c r="C56" s="2">
        <v>35106.462640403712</v>
      </c>
    </row>
    <row r="57" spans="2:3">
      <c r="B57" t="s">
        <v>331</v>
      </c>
      <c r="C57" s="2">
        <v>21952.996474735606</v>
      </c>
    </row>
    <row r="58" spans="2:3">
      <c r="B58" t="s">
        <v>332</v>
      </c>
      <c r="C58" s="2">
        <v>11357.700167193016</v>
      </c>
    </row>
    <row r="59" spans="2:3">
      <c r="B59" t="s">
        <v>333</v>
      </c>
      <c r="C59" s="2">
        <v>45856.000735158981</v>
      </c>
    </row>
    <row r="60" spans="2:3">
      <c r="B60" t="s">
        <v>334</v>
      </c>
      <c r="C60" s="2">
        <v>94739.4540942928</v>
      </c>
    </row>
    <row r="61" spans="2:3">
      <c r="B61" t="s">
        <v>335</v>
      </c>
      <c r="C61" s="2">
        <v>30888.030888030888</v>
      </c>
    </row>
    <row r="62" spans="2:3">
      <c r="B62" t="s">
        <v>336</v>
      </c>
      <c r="C62" s="2">
        <v>107004.30689718822</v>
      </c>
    </row>
    <row r="63" spans="2:3">
      <c r="B63" t="s">
        <v>338</v>
      </c>
      <c r="C63" s="2">
        <f>AVERAGE(C37:C62)</f>
        <v>76362.747143116256</v>
      </c>
    </row>
    <row r="66" spans="2:5">
      <c r="B66" t="s">
        <v>340</v>
      </c>
      <c r="C66" t="s">
        <v>339</v>
      </c>
    </row>
    <row r="67" spans="2:5">
      <c r="B67" t="s">
        <v>337</v>
      </c>
      <c r="C67" s="2">
        <f>C56*4.3</f>
        <v>150957.78935373595</v>
      </c>
    </row>
    <row r="68" spans="2:5">
      <c r="C68" s="2"/>
    </row>
    <row r="69" spans="2:5" ht="29">
      <c r="B69" s="1" t="s">
        <v>341</v>
      </c>
      <c r="C69" s="2">
        <f>C63*4.3</f>
        <v>328359.81271539989</v>
      </c>
    </row>
    <row r="70" spans="2:5" ht="29">
      <c r="B70" s="1" t="s">
        <v>342</v>
      </c>
      <c r="C70" s="2">
        <f>C69*E3</f>
        <v>6282179936.8710308</v>
      </c>
    </row>
    <row r="72" spans="2:5">
      <c r="B72" t="s">
        <v>346</v>
      </c>
      <c r="C72" t="s">
        <v>1</v>
      </c>
      <c r="D72" t="s">
        <v>2</v>
      </c>
    </row>
    <row r="73" spans="2:5">
      <c r="B73" s="1" t="s">
        <v>343</v>
      </c>
      <c r="C73" t="s">
        <v>114</v>
      </c>
      <c r="D73" s="2">
        <v>23771.7</v>
      </c>
    </row>
    <row r="74" spans="2:5">
      <c r="B74" t="s">
        <v>344</v>
      </c>
      <c r="C74" t="s">
        <v>308</v>
      </c>
      <c r="D74" s="2">
        <f>D73/5</f>
        <v>4754.34</v>
      </c>
    </row>
    <row r="75" spans="2:5">
      <c r="B75" t="s">
        <v>345</v>
      </c>
      <c r="C75" t="s">
        <v>308</v>
      </c>
      <c r="D75" s="2">
        <f>C70/1000000-D74</f>
        <v>1527.8399368710307</v>
      </c>
    </row>
    <row r="76" spans="2:5">
      <c r="B76" t="s">
        <v>347</v>
      </c>
      <c r="D76" s="2">
        <f>D75*12</f>
        <v>18334.079242452368</v>
      </c>
    </row>
    <row r="79" spans="2:5">
      <c r="B79" t="s">
        <v>348</v>
      </c>
      <c r="C79" t="s">
        <v>1</v>
      </c>
      <c r="D79" t="s">
        <v>2</v>
      </c>
      <c r="E79" t="s">
        <v>353</v>
      </c>
    </row>
    <row r="80" spans="2:5">
      <c r="B80" t="s">
        <v>352</v>
      </c>
      <c r="C80" t="s">
        <v>107</v>
      </c>
      <c r="D80" s="26">
        <f>27098167.0309524/1000000</f>
        <v>27.0981670309524</v>
      </c>
    </row>
    <row r="81" spans="2:5">
      <c r="B81" s="46" t="s">
        <v>349</v>
      </c>
      <c r="C81" t="s">
        <v>4</v>
      </c>
      <c r="D81" s="26">
        <v>670</v>
      </c>
      <c r="E81" s="26">
        <f>D81*D80</f>
        <v>18155.771910738109</v>
      </c>
    </row>
    <row r="82" spans="2:5">
      <c r="B82" s="46" t="s">
        <v>350</v>
      </c>
      <c r="C82" t="s">
        <v>4</v>
      </c>
      <c r="D82" s="26">
        <v>740</v>
      </c>
      <c r="E82" s="26">
        <f>D82*D80</f>
        <v>20052.643602904776</v>
      </c>
    </row>
    <row r="83" spans="2:5">
      <c r="B83" s="46" t="s">
        <v>351</v>
      </c>
      <c r="C83" t="s">
        <v>4</v>
      </c>
      <c r="D83" s="26">
        <v>190</v>
      </c>
      <c r="E83" s="26">
        <f>D83*D80</f>
        <v>5148.651735880956</v>
      </c>
    </row>
    <row r="84" spans="2:5">
      <c r="B84" s="46" t="s">
        <v>354</v>
      </c>
      <c r="D84" s="26"/>
      <c r="E84" s="26">
        <f>SUM(E81:E83)</f>
        <v>43357.067249523847</v>
      </c>
    </row>
    <row r="86" spans="2:5">
      <c r="B86" t="s">
        <v>184</v>
      </c>
      <c r="C86" t="s">
        <v>114</v>
      </c>
    </row>
    <row r="87" spans="2:5">
      <c r="B87" s="3" t="s">
        <v>306</v>
      </c>
      <c r="C87" s="2">
        <f>C32/1000000</f>
        <v>46673.141321522657</v>
      </c>
    </row>
    <row r="88" spans="2:5">
      <c r="B88" s="5" t="s">
        <v>307</v>
      </c>
      <c r="C88" s="2">
        <f>C33/1000000</f>
        <v>72131.218405989566</v>
      </c>
    </row>
    <row r="89" spans="2:5">
      <c r="B89" s="81" t="s">
        <v>355</v>
      </c>
      <c r="C89" s="2">
        <f>E84</f>
        <v>43357.067249523847</v>
      </c>
    </row>
    <row r="90" spans="2:5">
      <c r="B90" t="s">
        <v>356</v>
      </c>
      <c r="C90">
        <v>3000</v>
      </c>
    </row>
    <row r="91" spans="2:5">
      <c r="B91" t="s">
        <v>52</v>
      </c>
      <c r="C91" s="2">
        <f>SUM(C87:C90)</f>
        <v>165161.42697703608</v>
      </c>
    </row>
    <row r="93" spans="2:5">
      <c r="B93" t="s">
        <v>361</v>
      </c>
      <c r="C93" t="s">
        <v>1</v>
      </c>
      <c r="D93" t="s">
        <v>2</v>
      </c>
    </row>
    <row r="94" spans="2:5" ht="29">
      <c r="B94" s="1" t="s">
        <v>360</v>
      </c>
      <c r="C94" t="s">
        <v>114</v>
      </c>
      <c r="D94" s="2">
        <v>75697</v>
      </c>
    </row>
    <row r="95" spans="2:5">
      <c r="B95" t="s">
        <v>357</v>
      </c>
      <c r="C95" t="str">
        <f>C94</f>
        <v>mln zł</v>
      </c>
      <c r="D95" s="15">
        <f>C91</f>
        <v>165161.42697703608</v>
      </c>
    </row>
    <row r="96" spans="2:5">
      <c r="B96" t="s">
        <v>358</v>
      </c>
      <c r="C96" t="str">
        <f>C95</f>
        <v>mln zł</v>
      </c>
      <c r="D96" s="15">
        <f>D95-D94</f>
        <v>89464.426977036084</v>
      </c>
    </row>
  </sheetData>
  <pageMargins left="0.7" right="0.7" top="0.75" bottom="0.75" header="0.3" footer="0.3"/>
  <tableParts count="10">
    <tablePart r:id="rId1"/>
    <tablePart r:id="rId2"/>
    <tablePart r:id="rId3"/>
    <tablePart r:id="rId4"/>
    <tablePart r:id="rId5"/>
    <tablePart r:id="rId6"/>
    <tablePart r:id="rId7"/>
    <tablePart r:id="rId8"/>
    <tablePart r:id="rId9"/>
    <tablePart r:id="rId10"/>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9DA56C-34BD-4F3E-BFCC-E5DA4C311D4D}">
  <dimension ref="B1:H81"/>
  <sheetViews>
    <sheetView topLeftCell="A64" workbookViewId="0">
      <selection activeCell="G71" sqref="G71"/>
    </sheetView>
  </sheetViews>
  <sheetFormatPr defaultRowHeight="14.5"/>
  <cols>
    <col min="2" max="2" width="40" customWidth="1"/>
    <col min="3" max="3" width="32.90625" style="1" customWidth="1"/>
    <col min="4" max="4" width="18.08984375" customWidth="1"/>
    <col min="6" max="6" width="11" bestFit="1" customWidth="1"/>
    <col min="7" max="7" width="17.81640625" bestFit="1" customWidth="1"/>
    <col min="8" max="8" width="18.6328125" bestFit="1" customWidth="1"/>
  </cols>
  <sheetData>
    <row r="1" spans="2:3">
      <c r="B1" s="1" t="s">
        <v>402</v>
      </c>
      <c r="C1" s="1" t="s">
        <v>403</v>
      </c>
    </row>
    <row r="2" spans="2:3" ht="21">
      <c r="B2" s="82">
        <v>1</v>
      </c>
      <c r="C2" s="84" t="s">
        <v>362</v>
      </c>
    </row>
    <row r="3" spans="2:3">
      <c r="B3" s="82">
        <v>2</v>
      </c>
      <c r="C3" s="84" t="s">
        <v>363</v>
      </c>
    </row>
    <row r="4" spans="2:3">
      <c r="B4" s="82">
        <v>3</v>
      </c>
      <c r="C4" s="84" t="s">
        <v>364</v>
      </c>
    </row>
    <row r="5" spans="2:3">
      <c r="B5" s="82">
        <v>4</v>
      </c>
      <c r="C5" s="84" t="s">
        <v>365</v>
      </c>
    </row>
    <row r="6" spans="2:3">
      <c r="B6" s="82">
        <v>5</v>
      </c>
      <c r="C6" s="84" t="s">
        <v>366</v>
      </c>
    </row>
    <row r="7" spans="2:3">
      <c r="B7" s="82">
        <v>6</v>
      </c>
      <c r="C7" s="84" t="s">
        <v>367</v>
      </c>
    </row>
    <row r="8" spans="2:3">
      <c r="B8" s="82">
        <v>7</v>
      </c>
      <c r="C8" s="84" t="s">
        <v>368</v>
      </c>
    </row>
    <row r="9" spans="2:3">
      <c r="B9" s="82">
        <v>8</v>
      </c>
      <c r="C9" s="84" t="s">
        <v>369</v>
      </c>
    </row>
    <row r="10" spans="2:3">
      <c r="B10" s="82">
        <v>9</v>
      </c>
      <c r="C10" s="84" t="s">
        <v>370</v>
      </c>
    </row>
    <row r="11" spans="2:3">
      <c r="B11" s="82">
        <v>10</v>
      </c>
      <c r="C11" s="84" t="s">
        <v>371</v>
      </c>
    </row>
    <row r="12" spans="2:3">
      <c r="B12" s="82">
        <v>11</v>
      </c>
      <c r="C12" s="84" t="s">
        <v>372</v>
      </c>
    </row>
    <row r="13" spans="2:3">
      <c r="B13" s="82">
        <v>12</v>
      </c>
      <c r="C13" s="84" t="s">
        <v>373</v>
      </c>
    </row>
    <row r="14" spans="2:3" ht="21">
      <c r="B14" s="82">
        <v>13</v>
      </c>
      <c r="C14" s="84" t="s">
        <v>374</v>
      </c>
    </row>
    <row r="15" spans="2:3">
      <c r="B15" s="82">
        <v>14</v>
      </c>
      <c r="C15" s="84" t="s">
        <v>375</v>
      </c>
    </row>
    <row r="16" spans="2:3" ht="21">
      <c r="B16" s="82">
        <v>15</v>
      </c>
      <c r="C16" s="84" t="s">
        <v>376</v>
      </c>
    </row>
    <row r="17" spans="2:3">
      <c r="B17" s="82">
        <v>16</v>
      </c>
      <c r="C17" s="84" t="s">
        <v>377</v>
      </c>
    </row>
    <row r="18" spans="2:3">
      <c r="B18" s="82">
        <v>17</v>
      </c>
      <c r="C18" s="84" t="s">
        <v>378</v>
      </c>
    </row>
    <row r="19" spans="2:3">
      <c r="B19" s="82">
        <v>18</v>
      </c>
      <c r="C19" s="84" t="s">
        <v>379</v>
      </c>
    </row>
    <row r="20" spans="2:3">
      <c r="B20" s="82">
        <v>19</v>
      </c>
      <c r="C20" s="84" t="s">
        <v>380</v>
      </c>
    </row>
    <row r="21" spans="2:3">
      <c r="B21" s="82">
        <v>20</v>
      </c>
      <c r="C21" s="84" t="s">
        <v>381</v>
      </c>
    </row>
    <row r="22" spans="2:3">
      <c r="B22" s="82">
        <v>21</v>
      </c>
      <c r="C22" s="84" t="s">
        <v>382</v>
      </c>
    </row>
    <row r="23" spans="2:3">
      <c r="B23" s="82">
        <v>22</v>
      </c>
      <c r="C23" s="84" t="s">
        <v>383</v>
      </c>
    </row>
    <row r="24" spans="2:3">
      <c r="B24" s="82">
        <v>23</v>
      </c>
      <c r="C24" s="84" t="s">
        <v>384</v>
      </c>
    </row>
    <row r="25" spans="2:3" ht="21">
      <c r="B25" s="82">
        <v>24</v>
      </c>
      <c r="C25" s="84" t="s">
        <v>385</v>
      </c>
    </row>
    <row r="26" spans="2:3">
      <c r="B26" s="82">
        <v>25</v>
      </c>
      <c r="C26" s="84" t="s">
        <v>386</v>
      </c>
    </row>
    <row r="27" spans="2:3">
      <c r="B27" s="82">
        <v>26</v>
      </c>
      <c r="C27" s="84" t="s">
        <v>387</v>
      </c>
    </row>
    <row r="28" spans="2:3">
      <c r="B28" s="82">
        <v>27</v>
      </c>
      <c r="C28" s="84" t="s">
        <v>388</v>
      </c>
    </row>
    <row r="29" spans="2:3">
      <c r="B29" s="82">
        <v>28</v>
      </c>
      <c r="C29" s="84" t="s">
        <v>389</v>
      </c>
    </row>
    <row r="30" spans="2:3">
      <c r="B30" s="82">
        <v>29</v>
      </c>
      <c r="C30" s="84" t="s">
        <v>390</v>
      </c>
    </row>
    <row r="31" spans="2:3">
      <c r="B31" s="82">
        <v>30</v>
      </c>
      <c r="C31" s="84" t="s">
        <v>391</v>
      </c>
    </row>
    <row r="32" spans="2:3">
      <c r="B32" s="82">
        <v>31</v>
      </c>
      <c r="C32" s="84" t="s">
        <v>392</v>
      </c>
    </row>
    <row r="33" spans="2:4">
      <c r="B33" s="82">
        <v>32</v>
      </c>
      <c r="C33" s="84" t="s">
        <v>393</v>
      </c>
    </row>
    <row r="34" spans="2:4">
      <c r="B34" s="82">
        <v>33</v>
      </c>
      <c r="C34" s="84" t="s">
        <v>394</v>
      </c>
    </row>
    <row r="35" spans="2:4">
      <c r="B35" s="82">
        <v>34</v>
      </c>
      <c r="C35" s="84" t="s">
        <v>395</v>
      </c>
    </row>
    <row r="36" spans="2:4">
      <c r="B36" s="82">
        <v>35</v>
      </c>
      <c r="C36" s="84" t="s">
        <v>396</v>
      </c>
    </row>
    <row r="37" spans="2:4">
      <c r="B37" s="82">
        <v>36</v>
      </c>
      <c r="C37" s="84" t="s">
        <v>397</v>
      </c>
    </row>
    <row r="38" spans="2:4">
      <c r="B38" s="82">
        <v>37</v>
      </c>
      <c r="C38" s="84" t="s">
        <v>398</v>
      </c>
    </row>
    <row r="39" spans="2:4" ht="21">
      <c r="B39" s="82">
        <v>38</v>
      </c>
      <c r="C39" s="84" t="s">
        <v>399</v>
      </c>
    </row>
    <row r="40" spans="2:4">
      <c r="B40" s="82">
        <v>39</v>
      </c>
      <c r="C40" s="84" t="s">
        <v>400</v>
      </c>
    </row>
    <row r="41" spans="2:4">
      <c r="B41" s="82">
        <v>40</v>
      </c>
      <c r="C41" s="84" t="s">
        <v>401</v>
      </c>
    </row>
    <row r="43" spans="2:4">
      <c r="B43" t="s">
        <v>40</v>
      </c>
      <c r="C43" s="1" t="s">
        <v>1</v>
      </c>
      <c r="D43" t="s">
        <v>41</v>
      </c>
    </row>
    <row r="44" spans="2:4" ht="16.5">
      <c r="B44" s="83" t="s">
        <v>404</v>
      </c>
      <c r="C44" t="s">
        <v>39</v>
      </c>
      <c r="D44" s="51">
        <v>312679</v>
      </c>
    </row>
    <row r="45" spans="2:4" ht="16.5">
      <c r="B45" s="83" t="s">
        <v>405</v>
      </c>
      <c r="C45" s="1" t="s">
        <v>423</v>
      </c>
      <c r="D45" s="36">
        <f>B41/(D44/10000)</f>
        <v>1.2792672357273753</v>
      </c>
    </row>
    <row r="46" spans="2:4">
      <c r="B46" s="83"/>
    </row>
    <row r="50" spans="2:8">
      <c r="B50" s="90" t="s">
        <v>419</v>
      </c>
      <c r="C50" s="91" t="s">
        <v>420</v>
      </c>
      <c r="D50" s="89"/>
      <c r="E50" s="86"/>
      <c r="F50" s="86"/>
      <c r="G50" s="86"/>
      <c r="H50" s="86"/>
    </row>
    <row r="51" spans="2:8">
      <c r="B51" s="88" t="s">
        <v>418</v>
      </c>
      <c r="C51" s="87">
        <v>40074905.250976421</v>
      </c>
      <c r="D51" s="89"/>
      <c r="E51" s="86"/>
      <c r="F51" s="86"/>
      <c r="G51" s="87"/>
    </row>
    <row r="52" spans="2:8">
      <c r="B52" s="88" t="s">
        <v>406</v>
      </c>
      <c r="C52" s="87">
        <v>36926937</v>
      </c>
      <c r="D52" s="89"/>
      <c r="E52" s="86"/>
      <c r="F52" s="86"/>
      <c r="G52" s="87"/>
    </row>
    <row r="53" spans="2:8">
      <c r="B53" s="88" t="s">
        <v>407</v>
      </c>
      <c r="C53" s="87">
        <v>26618583.75</v>
      </c>
      <c r="D53" s="89"/>
      <c r="E53" s="86"/>
      <c r="F53" s="86"/>
      <c r="G53" s="87"/>
    </row>
    <row r="54" spans="2:8">
      <c r="B54" s="88" t="s">
        <v>408</v>
      </c>
      <c r="C54" s="87">
        <v>63574725.414900005</v>
      </c>
      <c r="D54" s="89"/>
      <c r="E54" s="86"/>
      <c r="F54" s="86"/>
      <c r="G54" s="87"/>
    </row>
    <row r="55" spans="2:8">
      <c r="B55" s="88" t="s">
        <v>409</v>
      </c>
      <c r="C55" s="87">
        <v>46544122.659900002</v>
      </c>
      <c r="D55" s="89"/>
      <c r="E55" s="86"/>
      <c r="F55" s="86"/>
      <c r="G55" s="87"/>
    </row>
    <row r="56" spans="2:8">
      <c r="B56" s="88" t="s">
        <v>410</v>
      </c>
      <c r="C56" s="87">
        <v>153531836.25299999</v>
      </c>
      <c r="D56" s="89"/>
      <c r="E56" s="86"/>
      <c r="F56" s="86"/>
      <c r="G56" s="87"/>
    </row>
    <row r="57" spans="2:8" ht="21">
      <c r="B57" s="88" t="s">
        <v>411</v>
      </c>
      <c r="C57" s="87">
        <v>27708690.315000001</v>
      </c>
      <c r="D57" s="89"/>
      <c r="E57" s="86"/>
      <c r="F57" s="86"/>
      <c r="G57" s="87"/>
    </row>
    <row r="58" spans="2:8">
      <c r="B58" s="88" t="s">
        <v>412</v>
      </c>
      <c r="C58" s="87">
        <v>126885313.545</v>
      </c>
      <c r="D58" s="89"/>
      <c r="E58" s="86"/>
      <c r="F58" s="86"/>
      <c r="G58" s="87"/>
    </row>
    <row r="59" spans="2:8" ht="21">
      <c r="B59" s="88" t="s">
        <v>413</v>
      </c>
      <c r="C59" s="87">
        <v>83075352.141000003</v>
      </c>
      <c r="D59" s="89"/>
      <c r="E59" s="86"/>
      <c r="F59" s="86"/>
      <c r="G59" s="87"/>
    </row>
    <row r="60" spans="2:8">
      <c r="B60" s="88" t="s">
        <v>414</v>
      </c>
      <c r="C60" s="87">
        <v>30325234.505999997</v>
      </c>
      <c r="D60" s="89"/>
      <c r="E60" s="86"/>
      <c r="F60" s="86"/>
      <c r="G60" s="87"/>
    </row>
    <row r="61" spans="2:8" ht="21">
      <c r="B61" s="88" t="s">
        <v>415</v>
      </c>
      <c r="C61" s="87">
        <v>89723749.321799994</v>
      </c>
      <c r="D61" s="89"/>
      <c r="E61" s="86"/>
      <c r="F61" s="86"/>
      <c r="G61" s="87"/>
    </row>
    <row r="62" spans="2:8" ht="21">
      <c r="B62" s="88" t="s">
        <v>416</v>
      </c>
      <c r="C62" s="87">
        <v>38158228.130999997</v>
      </c>
      <c r="D62" s="89"/>
      <c r="E62" s="86"/>
      <c r="F62" s="86"/>
      <c r="G62" s="87"/>
    </row>
    <row r="63" spans="2:8" ht="21">
      <c r="B63" s="88" t="s">
        <v>417</v>
      </c>
      <c r="C63" s="87">
        <v>55277409.828000002</v>
      </c>
      <c r="D63" s="89"/>
      <c r="E63" s="86"/>
      <c r="F63" s="86"/>
      <c r="G63" s="87"/>
    </row>
    <row r="64" spans="2:8">
      <c r="B64" s="92" t="s">
        <v>32</v>
      </c>
      <c r="C64" s="93">
        <f>AVERAGE(C51:C63)</f>
        <v>62955776.008967414</v>
      </c>
      <c r="D64" s="89"/>
      <c r="E64" s="86"/>
      <c r="F64" s="86"/>
      <c r="G64" s="86"/>
      <c r="H64" s="86"/>
    </row>
    <row r="65" spans="2:7">
      <c r="C65" s="86"/>
      <c r="D65" s="86"/>
      <c r="E65" s="86"/>
      <c r="F65" s="86"/>
      <c r="G65" s="86"/>
    </row>
    <row r="69" spans="2:7">
      <c r="B69" s="2" t="s">
        <v>40</v>
      </c>
      <c r="C69" s="1" t="s">
        <v>1</v>
      </c>
      <c r="D69" t="s">
        <v>2</v>
      </c>
    </row>
    <row r="70" spans="2:7">
      <c r="B70" s="94">
        <v>2018</v>
      </c>
      <c r="C70" s="77" t="s">
        <v>424</v>
      </c>
      <c r="D70" s="77">
        <v>1894</v>
      </c>
    </row>
    <row r="71" spans="2:7">
      <c r="B71" s="94" t="s">
        <v>425</v>
      </c>
      <c r="C71" s="77" t="s">
        <v>424</v>
      </c>
      <c r="D71" s="77">
        <v>3000</v>
      </c>
    </row>
    <row r="72" spans="2:7">
      <c r="B72" s="94" t="s">
        <v>427</v>
      </c>
      <c r="C72" s="77" t="s">
        <v>424</v>
      </c>
      <c r="D72" s="15">
        <f>D71-D70</f>
        <v>1106</v>
      </c>
    </row>
    <row r="73" spans="2:7">
      <c r="B73" s="95" t="s">
        <v>427</v>
      </c>
      <c r="C73" s="1" t="s">
        <v>176</v>
      </c>
      <c r="D73" s="32">
        <f>D72/D70</f>
        <v>0.58394931362196412</v>
      </c>
    </row>
    <row r="74" spans="2:7">
      <c r="B74" s="94" t="s">
        <v>428</v>
      </c>
      <c r="C74" s="77" t="s">
        <v>429</v>
      </c>
      <c r="D74">
        <f>B41</f>
        <v>40</v>
      </c>
    </row>
    <row r="75" spans="2:7">
      <c r="B75" s="94" t="s">
        <v>430</v>
      </c>
      <c r="C75" s="77" t="s">
        <v>429</v>
      </c>
      <c r="D75" s="29">
        <f>D74*D73</f>
        <v>23.357972544878564</v>
      </c>
    </row>
    <row r="76" spans="2:7">
      <c r="B76" s="94" t="s">
        <v>431</v>
      </c>
      <c r="C76" s="77" t="s">
        <v>429</v>
      </c>
      <c r="D76" s="29">
        <f>D75+D74</f>
        <v>63.357972544878564</v>
      </c>
    </row>
    <row r="77" spans="2:7">
      <c r="B77" s="96" t="s">
        <v>432</v>
      </c>
      <c r="C77" s="77" t="s">
        <v>114</v>
      </c>
      <c r="D77" s="2">
        <f>(D75*C64)/1000000</f>
        <v>1470.5192875589855</v>
      </c>
    </row>
    <row r="78" spans="2:7">
      <c r="B78" s="94"/>
      <c r="C78" s="77"/>
    </row>
    <row r="80" spans="2:7">
      <c r="B80" s="1" t="s">
        <v>433</v>
      </c>
      <c r="C80" t="s">
        <v>422</v>
      </c>
      <c r="D80" t="s">
        <v>434</v>
      </c>
      <c r="E80" s="2"/>
      <c r="F80" s="15"/>
    </row>
    <row r="81" spans="2:4">
      <c r="B81">
        <v>23.5</v>
      </c>
      <c r="C81">
        <v>71</v>
      </c>
      <c r="D81" s="2">
        <f>C81*B81</f>
        <v>1668.5</v>
      </c>
    </row>
  </sheetData>
  <pageMargins left="0.7" right="0.7" top="0.75" bottom="0.75" header="0.3" footer="0.3"/>
  <pageSetup paperSize="9" orientation="portrait" r:id="rId1"/>
  <tableParts count="5">
    <tablePart r:id="rId2"/>
    <tablePart r:id="rId3"/>
    <tablePart r:id="rId4"/>
    <tablePart r:id="rId5"/>
    <tablePart r:id="rId6"/>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DC9DCF-9AD8-448D-82B9-B6BBE5ED284A}">
  <dimension ref="B2:H46"/>
  <sheetViews>
    <sheetView workbookViewId="0">
      <selection activeCell="B34" activeCellId="1" sqref="B32 B34"/>
    </sheetView>
  </sheetViews>
  <sheetFormatPr defaultRowHeight="14.5"/>
  <cols>
    <col min="2" max="2" width="36" customWidth="1"/>
    <col min="3" max="3" width="8.54296875" customWidth="1"/>
    <col min="4" max="6" width="21.1796875" customWidth="1"/>
    <col min="7" max="7" width="18.54296875" customWidth="1"/>
    <col min="8" max="8" width="29" customWidth="1"/>
  </cols>
  <sheetData>
    <row r="2" spans="2:8">
      <c r="B2" t="s">
        <v>487</v>
      </c>
      <c r="C2" t="s">
        <v>436</v>
      </c>
      <c r="D2" t="s">
        <v>437</v>
      </c>
      <c r="E2" t="s">
        <v>438</v>
      </c>
      <c r="F2" t="s">
        <v>439</v>
      </c>
      <c r="G2" s="1" t="s">
        <v>421</v>
      </c>
    </row>
    <row r="3" spans="2:8">
      <c r="B3" s="136" t="s">
        <v>440</v>
      </c>
      <c r="C3">
        <v>3</v>
      </c>
      <c r="D3" t="s">
        <v>441</v>
      </c>
      <c r="E3" t="s">
        <v>442</v>
      </c>
      <c r="F3" s="2">
        <v>45300000</v>
      </c>
      <c r="G3" s="15">
        <f>F3/C3</f>
        <v>15100000</v>
      </c>
    </row>
    <row r="4" spans="2:8" ht="43.5">
      <c r="B4" s="97" t="s">
        <v>443</v>
      </c>
      <c r="C4">
        <v>20</v>
      </c>
      <c r="D4" t="s">
        <v>444</v>
      </c>
      <c r="E4" t="s">
        <v>442</v>
      </c>
      <c r="F4" s="2">
        <v>367000000</v>
      </c>
      <c r="G4" s="15">
        <v>17700000</v>
      </c>
    </row>
    <row r="5" spans="2:8">
      <c r="B5" s="136" t="s">
        <v>445</v>
      </c>
      <c r="C5">
        <v>15</v>
      </c>
      <c r="D5" t="s">
        <v>446</v>
      </c>
      <c r="E5" t="s">
        <v>447</v>
      </c>
      <c r="F5" s="2">
        <v>315000000</v>
      </c>
      <c r="G5" s="15">
        <f>F5/C5</f>
        <v>21000000</v>
      </c>
    </row>
    <row r="6" spans="2:8" ht="43.5">
      <c r="B6" s="97" t="s">
        <v>448</v>
      </c>
      <c r="C6">
        <v>31</v>
      </c>
      <c r="D6" t="s">
        <v>441</v>
      </c>
      <c r="E6" t="s">
        <v>442</v>
      </c>
      <c r="F6" s="2">
        <v>518000000</v>
      </c>
      <c r="G6" s="15">
        <f>F6/C6</f>
        <v>16709677.419354839</v>
      </c>
    </row>
    <row r="7" spans="2:8">
      <c r="B7" t="s">
        <v>32</v>
      </c>
      <c r="F7" s="2"/>
      <c r="G7" s="15">
        <f>AVERAGE(G3:G6)</f>
        <v>17627419.35483871</v>
      </c>
    </row>
    <row r="9" spans="2:8">
      <c r="B9" t="s">
        <v>449</v>
      </c>
      <c r="C9" s="7" t="s">
        <v>436</v>
      </c>
      <c r="D9" s="7" t="s">
        <v>437</v>
      </c>
      <c r="E9" s="7" t="s">
        <v>438</v>
      </c>
      <c r="F9" s="7" t="s">
        <v>439</v>
      </c>
      <c r="G9" s="98" t="s">
        <v>421</v>
      </c>
      <c r="H9" s="99" t="s">
        <v>455</v>
      </c>
    </row>
    <row r="10" spans="2:8">
      <c r="B10" s="136" t="s">
        <v>450</v>
      </c>
      <c r="C10" s="1">
        <v>10</v>
      </c>
      <c r="D10" s="1" t="s">
        <v>451</v>
      </c>
      <c r="E10" s="1" t="s">
        <v>452</v>
      </c>
      <c r="F10" s="77">
        <v>130000000</v>
      </c>
      <c r="G10" s="76">
        <f>F10/C10</f>
        <v>13000000</v>
      </c>
      <c r="H10" s="1"/>
    </row>
    <row r="11" spans="2:8" ht="58">
      <c r="B11" s="97" t="s">
        <v>453</v>
      </c>
      <c r="C11" s="1">
        <v>12</v>
      </c>
      <c r="D11" s="1"/>
      <c r="E11" s="1"/>
      <c r="F11" s="77">
        <v>296000000</v>
      </c>
      <c r="G11" s="76">
        <f>F11/C11</f>
        <v>24666666.666666668</v>
      </c>
      <c r="H11" s="1" t="s">
        <v>454</v>
      </c>
    </row>
    <row r="12" spans="2:8">
      <c r="B12" s="1"/>
      <c r="C12" s="1"/>
      <c r="D12" s="1"/>
      <c r="E12" s="1" t="s">
        <v>439</v>
      </c>
      <c r="F12" s="76">
        <f>SUM(F10:F11)</f>
        <v>426000000</v>
      </c>
      <c r="G12" s="76"/>
      <c r="H12" s="1" t="s">
        <v>455</v>
      </c>
    </row>
    <row r="13" spans="2:8" ht="29">
      <c r="B13" s="1"/>
      <c r="C13" s="1"/>
      <c r="D13" s="1"/>
      <c r="E13" s="1" t="s">
        <v>456</v>
      </c>
      <c r="F13" s="1"/>
      <c r="G13" s="76">
        <f>G10</f>
        <v>13000000</v>
      </c>
      <c r="H13" s="1" t="s">
        <v>488</v>
      </c>
    </row>
    <row r="15" spans="2:8">
      <c r="B15" s="1" t="s">
        <v>457</v>
      </c>
      <c r="C15" s="7" t="s">
        <v>436</v>
      </c>
      <c r="D15" s="7" t="s">
        <v>437</v>
      </c>
      <c r="E15" s="7" t="s">
        <v>438</v>
      </c>
      <c r="F15" s="7" t="s">
        <v>439</v>
      </c>
      <c r="G15" s="98" t="s">
        <v>421</v>
      </c>
    </row>
    <row r="16" spans="2:8">
      <c r="B16" s="136" t="s">
        <v>458</v>
      </c>
      <c r="C16">
        <v>25</v>
      </c>
      <c r="F16" s="2">
        <f>38000000*4.3</f>
        <v>163400000</v>
      </c>
      <c r="G16" s="2">
        <f>F16/C16</f>
        <v>6536000</v>
      </c>
    </row>
    <row r="17" spans="2:7">
      <c r="B17" s="100" t="s">
        <v>459</v>
      </c>
      <c r="C17">
        <v>90</v>
      </c>
      <c r="F17" s="2">
        <v>410000000</v>
      </c>
      <c r="G17" s="2">
        <f>F17/C17</f>
        <v>4555555.555555556</v>
      </c>
    </row>
    <row r="18" spans="2:7">
      <c r="B18" s="136" t="s">
        <v>459</v>
      </c>
      <c r="C18">
        <f>55+26</f>
        <v>81</v>
      </c>
      <c r="F18" s="2">
        <v>697300000</v>
      </c>
      <c r="G18" s="2">
        <f>F18/C18</f>
        <v>8608641.9753086418</v>
      </c>
    </row>
    <row r="19" spans="2:7">
      <c r="F19" t="s">
        <v>32</v>
      </c>
      <c r="G19" s="15">
        <f>AVERAGE(G16:G18)</f>
        <v>6566732.5102880662</v>
      </c>
    </row>
    <row r="21" spans="2:7">
      <c r="B21" t="s">
        <v>460</v>
      </c>
      <c r="C21" s="7" t="s">
        <v>436</v>
      </c>
      <c r="D21" s="7" t="s">
        <v>437</v>
      </c>
      <c r="E21" s="7" t="s">
        <v>438</v>
      </c>
      <c r="F21" s="7" t="s">
        <v>439</v>
      </c>
      <c r="G21" s="98" t="s">
        <v>421</v>
      </c>
    </row>
    <row r="22" spans="2:7">
      <c r="B22" s="136" t="s">
        <v>461</v>
      </c>
      <c r="C22">
        <v>20</v>
      </c>
      <c r="D22" t="s">
        <v>462</v>
      </c>
      <c r="E22" t="s">
        <v>452</v>
      </c>
      <c r="F22" s="2">
        <v>1300000000</v>
      </c>
      <c r="G22" s="2">
        <f>F22/C22</f>
        <v>65000000</v>
      </c>
    </row>
    <row r="23" spans="2:7" ht="58">
      <c r="B23" s="97" t="s">
        <v>463</v>
      </c>
      <c r="C23">
        <v>10</v>
      </c>
      <c r="D23" t="s">
        <v>464</v>
      </c>
      <c r="E23" t="s">
        <v>465</v>
      </c>
      <c r="F23" s="2">
        <v>181000000</v>
      </c>
      <c r="G23" s="2">
        <f>F23/C23</f>
        <v>18100000</v>
      </c>
    </row>
    <row r="24" spans="2:7">
      <c r="B24" s="136" t="s">
        <v>466</v>
      </c>
      <c r="C24">
        <v>12</v>
      </c>
      <c r="D24" t="s">
        <v>464</v>
      </c>
      <c r="E24" t="s">
        <v>465</v>
      </c>
      <c r="F24" s="2">
        <v>405000000</v>
      </c>
      <c r="G24" s="2">
        <f>F24/C24</f>
        <v>33750000</v>
      </c>
    </row>
    <row r="25" spans="2:7" ht="58">
      <c r="B25" s="97" t="s">
        <v>467</v>
      </c>
      <c r="C25">
        <v>6</v>
      </c>
      <c r="D25" t="s">
        <v>464</v>
      </c>
      <c r="E25" t="s">
        <v>465</v>
      </c>
      <c r="F25" s="2">
        <v>153000000</v>
      </c>
      <c r="G25" s="2">
        <f>F25/C25</f>
        <v>25500000</v>
      </c>
    </row>
    <row r="26" spans="2:7">
      <c r="B26" s="136" t="s">
        <v>468</v>
      </c>
      <c r="C26">
        <v>5</v>
      </c>
      <c r="E26" t="s">
        <v>469</v>
      </c>
      <c r="F26" s="2">
        <v>112237500</v>
      </c>
      <c r="G26" s="2">
        <f>F26/C26</f>
        <v>22447500</v>
      </c>
    </row>
    <row r="27" spans="2:7">
      <c r="B27" s="97"/>
      <c r="F27" s="2" t="s">
        <v>32</v>
      </c>
      <c r="G27" s="2">
        <f>AVERAGE(G22:G26)</f>
        <v>32959500</v>
      </c>
    </row>
    <row r="29" spans="2:7">
      <c r="B29" s="1" t="s">
        <v>470</v>
      </c>
      <c r="C29" s="7" t="s">
        <v>436</v>
      </c>
      <c r="D29" s="7" t="s">
        <v>437</v>
      </c>
      <c r="E29" s="7" t="s">
        <v>438</v>
      </c>
      <c r="F29" s="7" t="s">
        <v>439</v>
      </c>
      <c r="G29" s="98" t="s">
        <v>421</v>
      </c>
    </row>
    <row r="30" spans="2:7" ht="101.5">
      <c r="B30" s="1" t="s">
        <v>471</v>
      </c>
      <c r="C30">
        <v>4</v>
      </c>
      <c r="E30" t="s">
        <v>452</v>
      </c>
      <c r="F30">
        <v>67000000</v>
      </c>
      <c r="G30" s="2">
        <f>F30/C30</f>
        <v>16750000</v>
      </c>
    </row>
    <row r="31" spans="2:7" ht="29">
      <c r="B31" s="97" t="s">
        <v>472</v>
      </c>
      <c r="C31">
        <v>6</v>
      </c>
      <c r="E31" t="s">
        <v>452</v>
      </c>
      <c r="F31" s="2">
        <v>275000000</v>
      </c>
      <c r="G31" s="2">
        <f>F31/C31</f>
        <v>45833333.333333336</v>
      </c>
    </row>
    <row r="32" spans="2:7">
      <c r="B32" s="136" t="s">
        <v>473</v>
      </c>
      <c r="C32">
        <v>36</v>
      </c>
      <c r="E32" t="s">
        <v>452</v>
      </c>
      <c r="F32" s="2">
        <f>120000000*4.3</f>
        <v>516000000</v>
      </c>
      <c r="G32" s="2">
        <f>F32/C32</f>
        <v>14333333.333333334</v>
      </c>
    </row>
    <row r="33" spans="2:7" ht="58">
      <c r="B33" s="101" t="s">
        <v>474</v>
      </c>
      <c r="C33">
        <v>6</v>
      </c>
      <c r="E33" t="s">
        <v>469</v>
      </c>
      <c r="F33" s="2">
        <v>134000000</v>
      </c>
      <c r="G33" s="2">
        <f>F33/C33</f>
        <v>22333333.333333332</v>
      </c>
    </row>
    <row r="34" spans="2:7">
      <c r="B34" s="136" t="s">
        <v>475</v>
      </c>
      <c r="C34">
        <v>4</v>
      </c>
      <c r="E34" t="s">
        <v>469</v>
      </c>
      <c r="F34" s="2">
        <f>14760000</f>
        <v>14760000</v>
      </c>
      <c r="G34" s="2">
        <f>F34/C34</f>
        <v>3690000</v>
      </c>
    </row>
    <row r="35" spans="2:7">
      <c r="B35" t="s">
        <v>32</v>
      </c>
      <c r="G35" s="15">
        <f>AVERAGE(G30:G34)</f>
        <v>20588000</v>
      </c>
    </row>
    <row r="39" spans="2:7">
      <c r="B39" t="s">
        <v>485</v>
      </c>
      <c r="C39" t="s">
        <v>476</v>
      </c>
      <c r="D39" t="s">
        <v>477</v>
      </c>
      <c r="E39" t="s">
        <v>478</v>
      </c>
      <c r="F39" t="s">
        <v>479</v>
      </c>
      <c r="G39" t="s">
        <v>489</v>
      </c>
    </row>
    <row r="40" spans="2:7">
      <c r="B40" s="1" t="s">
        <v>480</v>
      </c>
      <c r="C40">
        <v>314</v>
      </c>
      <c r="D40">
        <v>15</v>
      </c>
      <c r="E40">
        <v>242</v>
      </c>
      <c r="F40">
        <v>245</v>
      </c>
      <c r="G40" s="2">
        <f>Tabela69[[#This Row],[Powyżej 40 lat w 2030]]*G7</f>
        <v>4318717741.9354839</v>
      </c>
    </row>
    <row r="41" spans="2:7">
      <c r="B41" s="1" t="s">
        <v>481</v>
      </c>
      <c r="C41">
        <v>109</v>
      </c>
      <c r="D41">
        <v>91</v>
      </c>
      <c r="E41">
        <v>98</v>
      </c>
      <c r="F41">
        <v>99</v>
      </c>
      <c r="G41" s="2">
        <f>Tabela69[[#This Row],[Powyżej 40 lat w 2030]]*G13</f>
        <v>1287000000</v>
      </c>
    </row>
    <row r="42" spans="2:7">
      <c r="B42" s="1" t="s">
        <v>482</v>
      </c>
      <c r="C42">
        <v>2047</v>
      </c>
      <c r="D42">
        <v>27</v>
      </c>
      <c r="E42">
        <v>764</v>
      </c>
      <c r="F42">
        <v>1708</v>
      </c>
      <c r="G42" s="2">
        <f>Tabela69[[#This Row],[Powyżej 40 lat w 2030]]*G19</f>
        <v>11215979127.572018</v>
      </c>
    </row>
    <row r="43" spans="2:7">
      <c r="B43" s="1" t="s">
        <v>483</v>
      </c>
      <c r="C43">
        <v>195</v>
      </c>
      <c r="D43">
        <v>36</v>
      </c>
      <c r="E43">
        <v>36</v>
      </c>
      <c r="F43">
        <v>48</v>
      </c>
      <c r="G43" s="2">
        <f>G19*Tabela69[[#This Row],[Powyżej 40 lat w 2030]]</f>
        <v>315203160.49382716</v>
      </c>
    </row>
    <row r="44" spans="2:7" ht="29">
      <c r="B44" s="1" t="s">
        <v>486</v>
      </c>
      <c r="C44">
        <v>1247</v>
      </c>
      <c r="D44">
        <v>365</v>
      </c>
      <c r="E44">
        <v>678</v>
      </c>
      <c r="F44">
        <v>861</v>
      </c>
      <c r="G44" s="2">
        <f>Tabela69[[#This Row],[Powyżej 40 lat w 2030]]*G27</f>
        <v>28378129500</v>
      </c>
    </row>
    <row r="45" spans="2:7" ht="29">
      <c r="B45" s="1" t="s">
        <v>484</v>
      </c>
      <c r="C45">
        <v>269</v>
      </c>
      <c r="D45">
        <v>2</v>
      </c>
      <c r="E45">
        <v>23</v>
      </c>
      <c r="F45">
        <v>23</v>
      </c>
      <c r="G45" s="2">
        <f>Tabela69[[#This Row],[Powyżej 40 lat w 2030]]*G35</f>
        <v>473524000</v>
      </c>
    </row>
    <row r="46" spans="2:7">
      <c r="B46" s="1"/>
      <c r="F46" t="s">
        <v>35</v>
      </c>
      <c r="G46" s="2">
        <f>SUM(G40:G45)</f>
        <v>45988553530.001328</v>
      </c>
    </row>
  </sheetData>
  <hyperlinks>
    <hyperlink ref="B3" r:id="rId1" xr:uid="{7202AB0A-B574-4B60-8DAB-4AE6B408C71D}"/>
    <hyperlink ref="B4" r:id="rId2" xr:uid="{452CA2FD-8B55-4611-996D-17658E9E268A}"/>
    <hyperlink ref="B5" r:id="rId3" xr:uid="{99F49DFF-77F5-46B5-9F79-F2F47C7A7934}"/>
    <hyperlink ref="B6" r:id="rId4" xr:uid="{D13419CB-A21E-4226-A403-38126A7E2F7A}"/>
    <hyperlink ref="B10" r:id="rId5" xr:uid="{B801BB41-40EA-4D36-958A-93441A026F45}"/>
    <hyperlink ref="B11" r:id="rId6" xr:uid="{75E5C541-B37C-4D26-B9DD-522424FE94A6}"/>
    <hyperlink ref="B16" r:id="rId7" xr:uid="{F33A8CF1-06D4-4BEE-B252-E767B602580C}"/>
    <hyperlink ref="B17" r:id="rId8" xr:uid="{82374091-329A-42CE-93DB-818817FAB8FC}"/>
    <hyperlink ref="B18" r:id="rId9" xr:uid="{2905A0B6-CD17-4B2B-9408-978A8BC3E522}"/>
    <hyperlink ref="B22" r:id="rId10" xr:uid="{30B20859-2D2D-42A7-8F6A-054BAE970E4A}"/>
    <hyperlink ref="B23" r:id="rId11" xr:uid="{91E02ED2-1779-44AD-966A-6386ED1186A8}"/>
    <hyperlink ref="B24" r:id="rId12" xr:uid="{71679E8B-0BFE-4A22-9008-4D8C933ACF66}"/>
    <hyperlink ref="B25" r:id="rId13" xr:uid="{96084F57-3933-4A6D-ADC7-A33C87FA84A1}"/>
    <hyperlink ref="B26" r:id="rId14" xr:uid="{33C2655C-9FBD-41FE-B3FC-323B2B1DD415}"/>
    <hyperlink ref="B31" r:id="rId15" xr:uid="{94FDA965-3948-40A6-A70D-3EF80C3233C1}"/>
    <hyperlink ref="B32" r:id="rId16" xr:uid="{27742C22-45E5-49B9-9825-833FABDA4FE5}"/>
    <hyperlink ref="B33" r:id="rId17" xr:uid="{01CBA0FD-C48C-48A0-BE42-66699EB7F42D}"/>
    <hyperlink ref="B34" r:id="rId18" xr:uid="{08B9438B-3E07-4736-BA86-B80F2826157B}"/>
  </hyperlinks>
  <pageMargins left="0.7" right="0.7" top="0.75" bottom="0.75" header="0.3" footer="0.3"/>
  <pageSetup paperSize="9" orientation="portrait" r:id="rId19"/>
  <tableParts count="6">
    <tablePart r:id="rId20"/>
    <tablePart r:id="rId21"/>
    <tablePart r:id="rId22"/>
    <tablePart r:id="rId23"/>
    <tablePart r:id="rId24"/>
    <tablePart r:id="rId25"/>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E9A9A7-F05A-44BA-9A4D-AFE838C33412}">
  <dimension ref="B2:N22"/>
  <sheetViews>
    <sheetView topLeftCell="C1" workbookViewId="0">
      <selection activeCell="I17" sqref="I17"/>
    </sheetView>
  </sheetViews>
  <sheetFormatPr defaultRowHeight="14.5"/>
  <cols>
    <col min="2" max="2" width="27.36328125" customWidth="1"/>
    <col min="3" max="3" width="12.7265625" customWidth="1"/>
    <col min="4" max="4" width="9.90625" customWidth="1"/>
    <col min="5" max="5" width="12.54296875" customWidth="1"/>
    <col min="6" max="6" width="10.08984375" customWidth="1"/>
    <col min="7" max="7" width="9.453125" customWidth="1"/>
    <col min="8" max="8" width="11.90625" customWidth="1"/>
    <col min="9" max="9" width="13.08984375" customWidth="1"/>
    <col min="10" max="10" width="14" customWidth="1"/>
    <col min="11" max="11" width="10.90625" customWidth="1"/>
    <col min="12" max="12" width="13.453125" customWidth="1"/>
    <col min="13" max="13" width="14" bestFit="1" customWidth="1"/>
    <col min="14" max="14" width="14" customWidth="1"/>
  </cols>
  <sheetData>
    <row r="2" spans="2:14" s="1" customFormat="1" ht="36">
      <c r="B2" s="102" t="s">
        <v>505</v>
      </c>
      <c r="C2" s="102" t="s">
        <v>429</v>
      </c>
      <c r="D2" s="102" t="s">
        <v>506</v>
      </c>
      <c r="E2" s="102" t="s">
        <v>491</v>
      </c>
      <c r="F2" s="102" t="s">
        <v>507</v>
      </c>
      <c r="G2" s="102" t="s">
        <v>508</v>
      </c>
      <c r="H2" s="102" t="s">
        <v>492</v>
      </c>
      <c r="I2" s="102" t="s">
        <v>510</v>
      </c>
      <c r="J2" s="102" t="s">
        <v>493</v>
      </c>
      <c r="K2" s="102" t="s">
        <v>494</v>
      </c>
      <c r="L2" s="102" t="s">
        <v>504</v>
      </c>
      <c r="M2" s="102" t="s">
        <v>495</v>
      </c>
      <c r="N2" s="102" t="s">
        <v>496</v>
      </c>
    </row>
    <row r="3" spans="2:14">
      <c r="B3" s="103" t="s">
        <v>480</v>
      </c>
      <c r="C3" s="104">
        <v>1419</v>
      </c>
      <c r="D3" s="30">
        <v>0.62</v>
      </c>
      <c r="E3" s="2">
        <v>879.78</v>
      </c>
      <c r="F3">
        <v>116</v>
      </c>
      <c r="G3" s="15">
        <v>763.78</v>
      </c>
      <c r="H3" s="15">
        <f>Tabela70[[#This Row],[pozostaje w eksploatacji]]*75%</f>
        <v>572.83500000000004</v>
      </c>
      <c r="I3" s="2">
        <v>6000000</v>
      </c>
      <c r="J3" s="2">
        <f>(Tabela70[[#This Row],[koszt jednostkowy w zł]]*Tabela70[[#This Row],[modernizacja 75% taboru]])/1000000</f>
        <v>3437.01</v>
      </c>
      <c r="K3" s="15">
        <f>Tabela70[[#This Row],[pozostaje w eksploatacji]]*25%</f>
        <v>190.94499999999999</v>
      </c>
      <c r="L3" s="2">
        <v>15000000</v>
      </c>
      <c r="M3" s="15">
        <f>(Tabela70[[#This Row],[koszt jednostkowy3]]*Tabela70[[#This Row],[zakup 25% taboru]])/1000000</f>
        <v>2864.1750000000002</v>
      </c>
      <c r="N3" s="15">
        <v>6301.1850000000004</v>
      </c>
    </row>
    <row r="4" spans="2:14">
      <c r="B4" s="103" t="s">
        <v>481</v>
      </c>
      <c r="C4" s="104">
        <v>2030</v>
      </c>
      <c r="D4" s="30">
        <v>0.55000000000000004</v>
      </c>
      <c r="E4" s="2">
        <v>1116.5</v>
      </c>
      <c r="F4">
        <v>167</v>
      </c>
      <c r="G4" s="15">
        <v>949.5</v>
      </c>
      <c r="H4" s="15">
        <f>Tabela70[[#This Row],[pozostaje w eksploatacji]]*75%</f>
        <v>712.125</v>
      </c>
      <c r="I4" s="2">
        <v>5000000</v>
      </c>
      <c r="J4" s="2">
        <f>(Tabela70[[#This Row],[koszt jednostkowy w zł]]*Tabela70[[#This Row],[modernizacja 75% taboru]])/1000000</f>
        <v>3560.625</v>
      </c>
      <c r="K4" s="15">
        <f>Tabela70[[#This Row],[pozostaje w eksploatacji]]*25%</f>
        <v>237.375</v>
      </c>
      <c r="L4" s="2">
        <v>13000000</v>
      </c>
      <c r="M4" s="15">
        <f>(Tabela70[[#This Row],[koszt jednostkowy3]]*Tabela70[[#This Row],[zakup 25% taboru]])/1000000</f>
        <v>3085.875</v>
      </c>
      <c r="N4" s="15">
        <v>6646.5</v>
      </c>
    </row>
    <row r="5" spans="2:14">
      <c r="B5" s="103" t="s">
        <v>497</v>
      </c>
      <c r="C5" s="104">
        <v>3831</v>
      </c>
      <c r="D5" s="30">
        <v>0.7</v>
      </c>
      <c r="E5" s="2">
        <v>2681.7</v>
      </c>
      <c r="G5" s="15">
        <v>2681.7</v>
      </c>
      <c r="H5" s="15">
        <f>Tabela70[[#This Row],[pozostaje w eksploatacji]]*75%</f>
        <v>2011.2749999999999</v>
      </c>
      <c r="I5" s="2">
        <v>50000</v>
      </c>
      <c r="J5" s="2">
        <f>(Tabela70[[#This Row],[koszt jednostkowy w zł]]*Tabela70[[#This Row],[modernizacja 75% taboru]])/1000000</f>
        <v>100.56375</v>
      </c>
      <c r="K5" s="15">
        <f>Tabela70[[#This Row],[pozostaje w eksploatacji]]*25%</f>
        <v>670.42499999999995</v>
      </c>
      <c r="L5" s="2">
        <v>500000</v>
      </c>
      <c r="M5" s="15">
        <f>(Tabela70[[#This Row],[koszt jednostkowy3]]*Tabela70[[#This Row],[zakup 25% taboru]])/1000000</f>
        <v>335.21249999999998</v>
      </c>
      <c r="N5" s="15">
        <v>435.77625</v>
      </c>
    </row>
    <row r="6" spans="2:14">
      <c r="B6" s="103" t="s">
        <v>498</v>
      </c>
      <c r="C6" s="104">
        <v>58657</v>
      </c>
      <c r="D6" s="30">
        <v>0.77</v>
      </c>
      <c r="E6" s="2">
        <v>45165.89</v>
      </c>
      <c r="F6">
        <v>2612</v>
      </c>
      <c r="G6" s="15">
        <v>42553.89</v>
      </c>
      <c r="H6" s="15">
        <f>Tabela70[[#This Row],[pozostaje w eksploatacji]]*75%</f>
        <v>31915.4175</v>
      </c>
      <c r="I6" s="2">
        <v>50000</v>
      </c>
      <c r="J6" s="2">
        <f>(Tabela70[[#This Row],[koszt jednostkowy w zł]]*Tabela70[[#This Row],[modernizacja 75% taboru]])/1000000</f>
        <v>1595.7708749999999</v>
      </c>
      <c r="K6" s="15">
        <f>Tabela70[[#This Row],[pozostaje w eksploatacji]]*25%</f>
        <v>10638.4725</v>
      </c>
      <c r="L6" s="2">
        <v>400000</v>
      </c>
      <c r="M6" s="15">
        <f>(Tabela70[[#This Row],[koszt jednostkowy3]]*Tabela70[[#This Row],[zakup 25% taboru]])/1000000</f>
        <v>4255.3890000000001</v>
      </c>
      <c r="N6" s="15">
        <v>5851.1598750000003</v>
      </c>
    </row>
    <row r="7" spans="2:14">
      <c r="B7" s="103" t="s">
        <v>499</v>
      </c>
      <c r="C7" s="104">
        <v>13158</v>
      </c>
      <c r="D7" s="30">
        <v>0.57356741146070833</v>
      </c>
      <c r="E7">
        <v>7547</v>
      </c>
      <c r="F7">
        <v>1749</v>
      </c>
      <c r="G7">
        <v>5798</v>
      </c>
      <c r="H7" s="15">
        <f>Tabela70[[#This Row],[pozostaje w eksploatacji]]*75%</f>
        <v>4348.5</v>
      </c>
      <c r="I7" s="2">
        <v>50000</v>
      </c>
      <c r="J7" s="2">
        <f>(Tabela70[[#This Row],[koszt jednostkowy w zł]]*Tabela70[[#This Row],[modernizacja 75% taboru]])/1000000</f>
        <v>217.42500000000001</v>
      </c>
      <c r="K7" s="15">
        <f>Tabela70[[#This Row],[pozostaje w eksploatacji]]*25%</f>
        <v>1449.5</v>
      </c>
      <c r="L7" s="2">
        <v>500000</v>
      </c>
      <c r="M7" s="15">
        <f>(Tabela70[[#This Row],[koszt jednostkowy3]]*Tabela70[[#This Row],[zakup 25% taboru]])/1000000</f>
        <v>724.75</v>
      </c>
      <c r="N7" s="15">
        <v>942.17499999999995</v>
      </c>
    </row>
    <row r="8" spans="2:14">
      <c r="B8" s="103" t="s">
        <v>500</v>
      </c>
      <c r="C8" s="104">
        <v>7142</v>
      </c>
      <c r="D8" s="30">
        <v>0.7</v>
      </c>
      <c r="E8" s="2">
        <v>4999.3999999999996</v>
      </c>
      <c r="G8" s="15">
        <v>4999.3999999999996</v>
      </c>
      <c r="H8" s="15">
        <f>Tabela70[[#This Row],[pozostaje w eksploatacji]]*75%</f>
        <v>3749.5499999999997</v>
      </c>
      <c r="I8" s="2">
        <v>50000</v>
      </c>
      <c r="J8" s="2">
        <f>(Tabela70[[#This Row],[koszt jednostkowy w zł]]*Tabela70[[#This Row],[modernizacja 75% taboru]])/1000000</f>
        <v>187.47749999999999</v>
      </c>
      <c r="K8" s="15">
        <f>Tabela70[[#This Row],[pozostaje w eksploatacji]]*25%</f>
        <v>1249.8499999999999</v>
      </c>
      <c r="L8" s="2">
        <v>500000</v>
      </c>
      <c r="M8" s="15">
        <f>(Tabela70[[#This Row],[koszt jednostkowy3]]*Tabela70[[#This Row],[zakup 25% taboru]])/1000000</f>
        <v>624.92499999999995</v>
      </c>
      <c r="N8" s="15">
        <v>812.40249999999992</v>
      </c>
    </row>
    <row r="9" spans="2:14" ht="29">
      <c r="B9" s="103" t="s">
        <v>501</v>
      </c>
      <c r="C9" s="104">
        <v>1253</v>
      </c>
      <c r="D9" s="30">
        <v>0.7</v>
      </c>
      <c r="E9" s="2">
        <v>877.09999999999991</v>
      </c>
      <c r="G9" s="15">
        <v>877.09999999999991</v>
      </c>
      <c r="H9" s="15">
        <f>Tabela70[[#This Row],[pozostaje w eksploatacji]]*75%</f>
        <v>657.82499999999993</v>
      </c>
      <c r="I9" s="2">
        <v>50000</v>
      </c>
      <c r="J9" s="2">
        <f>(Tabela70[[#This Row],[koszt jednostkowy w zł]]*Tabela70[[#This Row],[modernizacja 75% taboru]])/1000000</f>
        <v>32.891249999999999</v>
      </c>
      <c r="K9" s="15">
        <f>Tabela70[[#This Row],[pozostaje w eksploatacji]]*25%</f>
        <v>219.27499999999998</v>
      </c>
      <c r="L9" s="2">
        <v>750000</v>
      </c>
      <c r="M9" s="15">
        <f>(Tabela70[[#This Row],[koszt jednostkowy3]]*Tabela70[[#This Row],[zakup 25% taboru]])/1000000</f>
        <v>164.45624999999998</v>
      </c>
      <c r="N9" s="15">
        <v>197.34749999999997</v>
      </c>
    </row>
    <row r="10" spans="2:14">
      <c r="B10" s="103" t="s">
        <v>502</v>
      </c>
      <c r="C10" s="104">
        <v>6314</v>
      </c>
      <c r="D10" s="30">
        <v>0.7</v>
      </c>
      <c r="E10" s="2">
        <v>4419.7999999999993</v>
      </c>
      <c r="G10" s="15">
        <v>4419.7999999999993</v>
      </c>
      <c r="H10" s="15">
        <f>Tabela70[[#This Row],[pozostaje w eksploatacji]]*75%</f>
        <v>3314.8499999999995</v>
      </c>
      <c r="I10" s="2">
        <v>50000</v>
      </c>
      <c r="J10" s="2">
        <f>(Tabela70[[#This Row],[koszt jednostkowy w zł]]*Tabela70[[#This Row],[modernizacja 75% taboru]])/1000000</f>
        <v>165.74249999999998</v>
      </c>
      <c r="K10" s="15">
        <f>Tabela70[[#This Row],[pozostaje w eksploatacji]]*25%</f>
        <v>1104.9499999999998</v>
      </c>
      <c r="L10" s="2">
        <v>500000</v>
      </c>
      <c r="M10" s="15">
        <f>(Tabela70[[#This Row],[koszt jednostkowy3]]*Tabela70[[#This Row],[zakup 25% taboru]])/1000000</f>
        <v>552.47499999999991</v>
      </c>
      <c r="N10" s="15">
        <v>718.21749999999986</v>
      </c>
    </row>
    <row r="11" spans="2:14">
      <c r="B11" s="103" t="s">
        <v>503</v>
      </c>
      <c r="C11" s="105">
        <v>494</v>
      </c>
      <c r="D11" s="30">
        <v>0.7</v>
      </c>
      <c r="E11" s="2">
        <v>345.79999999999995</v>
      </c>
      <c r="G11" s="15">
        <v>345.79999999999995</v>
      </c>
      <c r="H11" s="15">
        <f>Tabela70[[#This Row],[pozostaje w eksploatacji]]*75%</f>
        <v>259.34999999999997</v>
      </c>
      <c r="I11" s="2">
        <v>50000</v>
      </c>
      <c r="J11" s="2">
        <f>(Tabela70[[#This Row],[koszt jednostkowy w zł]]*Tabela70[[#This Row],[modernizacja 75% taboru]])/1000000</f>
        <v>12.967499999999998</v>
      </c>
      <c r="K11" s="15">
        <f>Tabela70[[#This Row],[pozostaje w eksploatacji]]*25%</f>
        <v>86.449999999999989</v>
      </c>
      <c r="L11" s="2">
        <v>500000</v>
      </c>
      <c r="M11" s="15">
        <f>(Tabela70[[#This Row],[koszt jednostkowy3]]*Tabela70[[#This Row],[zakup 25% taboru]])/1000000</f>
        <v>43.224999999999994</v>
      </c>
      <c r="N11" s="15">
        <v>56.192499999999995</v>
      </c>
    </row>
    <row r="12" spans="2:14">
      <c r="B12" s="106"/>
      <c r="C12" s="107"/>
      <c r="D12" s="30"/>
      <c r="E12" s="108"/>
      <c r="G12" s="15"/>
      <c r="H12" s="15"/>
      <c r="I12" s="80" t="s">
        <v>509</v>
      </c>
      <c r="J12" s="137">
        <f>SUM(Tabela70[razem modernizacja (mln zł)])</f>
        <v>9310.4733750000014</v>
      </c>
      <c r="K12" s="80"/>
      <c r="L12" s="80"/>
      <c r="M12" s="137">
        <f>SUM(Tabela70[razem zakup (mln zł)])</f>
        <v>12650.482749999999</v>
      </c>
      <c r="N12" s="15"/>
    </row>
    <row r="15" spans="2:14">
      <c r="B15" s="103" t="s">
        <v>511</v>
      </c>
      <c r="C15" s="103" t="s">
        <v>512</v>
      </c>
      <c r="D15" s="103" t="s">
        <v>513</v>
      </c>
      <c r="E15" s="103" t="s">
        <v>514</v>
      </c>
    </row>
    <row r="16" spans="2:14">
      <c r="B16" s="103" t="s">
        <v>515</v>
      </c>
      <c r="C16" s="109">
        <v>4143</v>
      </c>
      <c r="D16" s="110">
        <v>0.05</v>
      </c>
      <c r="E16" s="103" t="s">
        <v>516</v>
      </c>
    </row>
    <row r="17" spans="2:5">
      <c r="B17" s="103" t="s">
        <v>517</v>
      </c>
      <c r="C17" s="109">
        <v>7806</v>
      </c>
      <c r="D17" s="110">
        <v>0.09</v>
      </c>
      <c r="E17" s="103" t="s">
        <v>518</v>
      </c>
    </row>
    <row r="18" spans="2:5">
      <c r="B18" s="103" t="s">
        <v>519</v>
      </c>
      <c r="C18" s="109">
        <v>14400</v>
      </c>
      <c r="D18" s="110">
        <v>0.16</v>
      </c>
      <c r="E18" s="103" t="s">
        <v>520</v>
      </c>
    </row>
    <row r="19" spans="2:5">
      <c r="B19" s="103" t="s">
        <v>521</v>
      </c>
      <c r="C19" s="109">
        <v>43166</v>
      </c>
      <c r="D19" s="110">
        <v>0.49</v>
      </c>
      <c r="E19" s="103" t="s">
        <v>522</v>
      </c>
    </row>
    <row r="20" spans="2:5">
      <c r="B20" s="103" t="s">
        <v>523</v>
      </c>
      <c r="C20" s="109">
        <v>17325</v>
      </c>
      <c r="D20" s="110">
        <v>0.2</v>
      </c>
      <c r="E20" s="103" t="s">
        <v>524</v>
      </c>
    </row>
    <row r="21" spans="2:5">
      <c r="B21" s="103" t="s">
        <v>525</v>
      </c>
      <c r="C21" s="109">
        <v>1435</v>
      </c>
      <c r="D21" s="110">
        <v>0.02</v>
      </c>
      <c r="E21" s="103" t="s">
        <v>526</v>
      </c>
    </row>
    <row r="22" spans="2:5" ht="29">
      <c r="B22" s="103" t="s">
        <v>527</v>
      </c>
      <c r="C22" s="103">
        <v>189</v>
      </c>
      <c r="D22" s="111">
        <v>2E-3</v>
      </c>
      <c r="E22" s="103" t="s">
        <v>528</v>
      </c>
    </row>
  </sheetData>
  <pageMargins left="0.7" right="0.7" top="0.75" bottom="0.75" header="0.3" footer="0.3"/>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14</vt:i4>
      </vt:variant>
    </vt:vector>
  </HeadingPairs>
  <TitlesOfParts>
    <vt:vector size="14" baseType="lpstr">
      <vt:lpstr>Autostrady!</vt:lpstr>
      <vt:lpstr>Drogi krajowe</vt:lpstr>
      <vt:lpstr>Drogi wojewódzkie</vt:lpstr>
      <vt:lpstr>Drogi gminne i powiatowe</vt:lpstr>
      <vt:lpstr>ITS</vt:lpstr>
      <vt:lpstr>Linie kolejowe</vt:lpstr>
      <vt:lpstr>Intermodal</vt:lpstr>
      <vt:lpstr>Tabor pasażerski</vt:lpstr>
      <vt:lpstr>Tabor Cargo</vt:lpstr>
      <vt:lpstr>Lotniska</vt:lpstr>
      <vt:lpstr>Porty morskie</vt:lpstr>
      <vt:lpstr>Żegluga śródlądowa</vt:lpstr>
      <vt:lpstr>Transport publiczny</vt:lpstr>
      <vt:lpstr>Podsumowanie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Przemysław Gorgol</dc:creator>
  <cp:lastModifiedBy>Przemysław Gorgol</cp:lastModifiedBy>
  <dcterms:created xsi:type="dcterms:W3CDTF">2020-03-29T11:09:19Z</dcterms:created>
  <dcterms:modified xsi:type="dcterms:W3CDTF">2020-05-04T19:00:51Z</dcterms:modified>
</cp:coreProperties>
</file>